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2 Декабрь\уборка\Закупочная Уборка\Приложение № 3  - Проект договора\"/>
    </mc:Choice>
  </mc:AlternateContent>
  <bookViews>
    <workbookView xWindow="0" yWindow="0" windowWidth="20265" windowHeight="11130"/>
  </bookViews>
  <sheets>
    <sheet name="Уборка" sheetId="1" r:id="rId1"/>
  </sheets>
  <definedNames>
    <definedName name="_xlnm._FilterDatabase" localSheetId="0" hidden="1">Уборка!$A$5:$AR$258</definedName>
    <definedName name="_xlnm.Print_Titles" localSheetId="0">Уборка!$7:$10</definedName>
    <definedName name="_xlnm.Print_Area" localSheetId="0">Уборка!$A$1:$AR$272</definedName>
  </definedNames>
  <calcPr calcId="152511"/>
</workbook>
</file>

<file path=xl/calcChain.xml><?xml version="1.0" encoding="utf-8"?>
<calcChain xmlns="http://schemas.openxmlformats.org/spreadsheetml/2006/main">
  <c r="AI30" i="1" l="1"/>
  <c r="AH30" i="1" s="1"/>
  <c r="AI31" i="1"/>
  <c r="AH31" i="1" s="1"/>
  <c r="AI32" i="1"/>
  <c r="AH32" i="1" s="1"/>
  <c r="AI33" i="1"/>
  <c r="AH33" i="1" s="1"/>
  <c r="AI34" i="1"/>
  <c r="AH34" i="1" s="1"/>
  <c r="AI35" i="1"/>
  <c r="AH35" i="1" s="1"/>
  <c r="AI36" i="1"/>
  <c r="AH36" i="1" s="1"/>
  <c r="AI37" i="1"/>
  <c r="AH37" i="1" s="1"/>
  <c r="AI38" i="1"/>
  <c r="AH38" i="1" s="1"/>
  <c r="AI39" i="1"/>
  <c r="AH39" i="1" s="1"/>
  <c r="AI40" i="1"/>
  <c r="AH40" i="1" s="1"/>
  <c r="AI41" i="1"/>
  <c r="AH41" i="1" s="1"/>
  <c r="AI42" i="1"/>
  <c r="AH42" i="1" s="1"/>
  <c r="AI43" i="1"/>
  <c r="AH43" i="1" s="1"/>
  <c r="AI44" i="1"/>
  <c r="AH44" i="1" s="1"/>
  <c r="AI45" i="1"/>
  <c r="AH45" i="1" s="1"/>
  <c r="AI46" i="1"/>
  <c r="AH46" i="1" s="1"/>
  <c r="AI48" i="1"/>
  <c r="AH48" i="1" s="1"/>
  <c r="AI49" i="1"/>
  <c r="AH49" i="1" s="1"/>
  <c r="AI50" i="1"/>
  <c r="AH50" i="1" s="1"/>
  <c r="AI51" i="1"/>
  <c r="AH51" i="1" s="1"/>
  <c r="AI52" i="1"/>
  <c r="AH52" i="1" s="1"/>
  <c r="AI53" i="1"/>
  <c r="AH53" i="1" s="1"/>
  <c r="AI54" i="1"/>
  <c r="AH54" i="1" s="1"/>
  <c r="AI55" i="1"/>
  <c r="AH55" i="1" s="1"/>
  <c r="AI56" i="1"/>
  <c r="AH56" i="1" s="1"/>
  <c r="AI57" i="1"/>
  <c r="AH57" i="1" s="1"/>
  <c r="AI58" i="1"/>
  <c r="AH58" i="1" s="1"/>
  <c r="AI60" i="1"/>
  <c r="AH60" i="1" s="1"/>
  <c r="AI61" i="1"/>
  <c r="AH61" i="1" s="1"/>
  <c r="AI62" i="1"/>
  <c r="AH62" i="1" s="1"/>
  <c r="AI63" i="1"/>
  <c r="AH63" i="1" s="1"/>
  <c r="AI64" i="1"/>
  <c r="AH64" i="1" s="1"/>
  <c r="AI65" i="1"/>
  <c r="AH65" i="1" s="1"/>
  <c r="AI66" i="1"/>
  <c r="AH66" i="1" s="1"/>
  <c r="AI67" i="1"/>
  <c r="AH67" i="1" s="1"/>
  <c r="AI70" i="1"/>
  <c r="AH70" i="1" s="1"/>
  <c r="AI71" i="1"/>
  <c r="AH71" i="1" s="1"/>
  <c r="AI72" i="1"/>
  <c r="AH72" i="1" s="1"/>
  <c r="AI73" i="1"/>
  <c r="AH73" i="1" s="1"/>
  <c r="AI74" i="1"/>
  <c r="AH74" i="1" s="1"/>
  <c r="AI75" i="1"/>
  <c r="AH75" i="1" s="1"/>
  <c r="AI76" i="1"/>
  <c r="AH76" i="1" s="1"/>
  <c r="AI77" i="1"/>
  <c r="AH77" i="1" s="1"/>
  <c r="AI78" i="1"/>
  <c r="AH78" i="1" s="1"/>
  <c r="AI80" i="1"/>
  <c r="AH80" i="1" s="1"/>
  <c r="AI81" i="1"/>
  <c r="AH81" i="1" s="1"/>
  <c r="AI82" i="1"/>
  <c r="AH82" i="1" s="1"/>
  <c r="AI83" i="1"/>
  <c r="AH83" i="1" s="1"/>
  <c r="AI84" i="1"/>
  <c r="AH84" i="1" s="1"/>
  <c r="AI85" i="1"/>
  <c r="AH85" i="1" s="1"/>
  <c r="AI86" i="1"/>
  <c r="AH86" i="1" s="1"/>
  <c r="AI87" i="1"/>
  <c r="AH87" i="1" s="1"/>
  <c r="AI88" i="1"/>
  <c r="AH88" i="1" s="1"/>
  <c r="AI89" i="1"/>
  <c r="AH89" i="1" s="1"/>
  <c r="AI90" i="1"/>
  <c r="AH90" i="1" s="1"/>
  <c r="AI91" i="1"/>
  <c r="AH91" i="1" s="1"/>
  <c r="AI92" i="1"/>
  <c r="AH92" i="1" s="1"/>
  <c r="AI93" i="1"/>
  <c r="AH93" i="1" s="1"/>
  <c r="AI94" i="1"/>
  <c r="AH94" i="1" s="1"/>
  <c r="AI95" i="1"/>
  <c r="AH95" i="1" s="1"/>
  <c r="AI96" i="1"/>
  <c r="AH96" i="1" s="1"/>
  <c r="AI97" i="1"/>
  <c r="AH97" i="1" s="1"/>
  <c r="AI99" i="1"/>
  <c r="AH99" i="1" s="1"/>
  <c r="AI100" i="1"/>
  <c r="AH100" i="1" s="1"/>
  <c r="AI101" i="1"/>
  <c r="AH101" i="1" s="1"/>
  <c r="AI102" i="1"/>
  <c r="AH102" i="1" s="1"/>
  <c r="AI103" i="1"/>
  <c r="AH103" i="1" s="1"/>
  <c r="AI106" i="1"/>
  <c r="AH106" i="1" s="1"/>
  <c r="AI107" i="1"/>
  <c r="AH107" i="1" s="1"/>
  <c r="AI109" i="1"/>
  <c r="AH109" i="1" s="1"/>
  <c r="AI110" i="1"/>
  <c r="AH110" i="1" s="1"/>
  <c r="AI111" i="1"/>
  <c r="AH111" i="1" s="1"/>
  <c r="AI112" i="1"/>
  <c r="AH112" i="1" s="1"/>
  <c r="AI113" i="1"/>
  <c r="AH113" i="1" s="1"/>
  <c r="AH114" i="1"/>
  <c r="AI114" i="1"/>
  <c r="AH115" i="1"/>
  <c r="AI115" i="1"/>
  <c r="AH116" i="1"/>
  <c r="AI116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7" i="1"/>
  <c r="AI127" i="1"/>
  <c r="AH128" i="1"/>
  <c r="AI128" i="1"/>
  <c r="AH129" i="1"/>
  <c r="AI129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2" i="1"/>
  <c r="AI172" i="1"/>
  <c r="AH173" i="1"/>
  <c r="AI173" i="1"/>
  <c r="AH174" i="1"/>
  <c r="AI174" i="1"/>
  <c r="AH176" i="1"/>
  <c r="AI176" i="1"/>
  <c r="AH177" i="1"/>
  <c r="AI177" i="1"/>
  <c r="AH178" i="1"/>
  <c r="AI178" i="1"/>
  <c r="AH179" i="1"/>
  <c r="AI179" i="1"/>
  <c r="AH180" i="1"/>
  <c r="AI180" i="1"/>
  <c r="AH181" i="1"/>
  <c r="AI181" i="1"/>
  <c r="AH182" i="1"/>
  <c r="AI182" i="1"/>
  <c r="AH183" i="1"/>
  <c r="AI183" i="1"/>
  <c r="AH184" i="1"/>
  <c r="AI184" i="1"/>
  <c r="AH186" i="1"/>
  <c r="AI186" i="1"/>
  <c r="AH188" i="1"/>
  <c r="AI188" i="1"/>
  <c r="AH189" i="1"/>
  <c r="AI189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8" i="1"/>
  <c r="AI198" i="1"/>
  <c r="AH199" i="1"/>
  <c r="AI199" i="1"/>
  <c r="AH200" i="1"/>
  <c r="AI200" i="1"/>
  <c r="AH202" i="1"/>
  <c r="AI202" i="1"/>
  <c r="AH203" i="1"/>
  <c r="AI203" i="1"/>
  <c r="AH204" i="1"/>
  <c r="AI204" i="1"/>
  <c r="AH205" i="1"/>
  <c r="AI205" i="1"/>
  <c r="AH207" i="1"/>
  <c r="AI207" i="1"/>
  <c r="AH208" i="1"/>
  <c r="AI208" i="1"/>
  <c r="AH209" i="1"/>
  <c r="AI209" i="1"/>
  <c r="AH211" i="1"/>
  <c r="AI211" i="1"/>
  <c r="AH212" i="1"/>
  <c r="AI212" i="1"/>
  <c r="AH213" i="1"/>
  <c r="AI213" i="1"/>
  <c r="AH215" i="1"/>
  <c r="AI215" i="1"/>
  <c r="AH216" i="1"/>
  <c r="AI216" i="1"/>
  <c r="AH217" i="1"/>
  <c r="AI217" i="1"/>
  <c r="AH218" i="1"/>
  <c r="AI218" i="1"/>
  <c r="AH219" i="1"/>
  <c r="AI219" i="1"/>
  <c r="AH220" i="1"/>
  <c r="AI220" i="1"/>
  <c r="AH221" i="1"/>
  <c r="AI221" i="1"/>
  <c r="AH222" i="1"/>
  <c r="AI222" i="1"/>
  <c r="AH223" i="1"/>
  <c r="AI223" i="1"/>
  <c r="AH224" i="1"/>
  <c r="AI224" i="1"/>
  <c r="AH225" i="1"/>
  <c r="AI225" i="1"/>
  <c r="AH226" i="1"/>
  <c r="AI226" i="1"/>
  <c r="AH227" i="1"/>
  <c r="AI227" i="1"/>
  <c r="AH228" i="1"/>
  <c r="AI228" i="1"/>
  <c r="AH229" i="1"/>
  <c r="AI229" i="1"/>
  <c r="AH231" i="1"/>
  <c r="AI231" i="1"/>
  <c r="AH232" i="1"/>
  <c r="AI232" i="1"/>
  <c r="AH233" i="1"/>
  <c r="AI233" i="1"/>
  <c r="AH234" i="1"/>
  <c r="AI234" i="1"/>
  <c r="AH235" i="1"/>
  <c r="AI235" i="1"/>
  <c r="AH236" i="1"/>
  <c r="AI236" i="1"/>
  <c r="AH237" i="1"/>
  <c r="AI237" i="1"/>
  <c r="AH238" i="1"/>
  <c r="AI238" i="1"/>
  <c r="AH239" i="1"/>
  <c r="AI239" i="1"/>
  <c r="AH240" i="1"/>
  <c r="AI240" i="1"/>
  <c r="AH241" i="1"/>
  <c r="AI241" i="1"/>
  <c r="AH242" i="1"/>
  <c r="AI242" i="1"/>
  <c r="AH243" i="1"/>
  <c r="AI243" i="1"/>
  <c r="AH244" i="1"/>
  <c r="AI244" i="1"/>
  <c r="AH245" i="1"/>
  <c r="AI245" i="1"/>
  <c r="AH246" i="1"/>
  <c r="AI246" i="1"/>
  <c r="AH247" i="1"/>
  <c r="AI247" i="1"/>
  <c r="AH248" i="1"/>
  <c r="AI248" i="1"/>
  <c r="AH249" i="1"/>
  <c r="AI249" i="1"/>
  <c r="AH250" i="1"/>
  <c r="AI250" i="1"/>
  <c r="AH251" i="1"/>
  <c r="AI251" i="1"/>
  <c r="AH252" i="1"/>
  <c r="AI252" i="1"/>
  <c r="AH253" i="1"/>
  <c r="AI253" i="1"/>
  <c r="AH254" i="1"/>
  <c r="AI254" i="1"/>
  <c r="AH255" i="1"/>
  <c r="AI255" i="1"/>
  <c r="AH256" i="1"/>
  <c r="AI256" i="1"/>
  <c r="AH257" i="1"/>
  <c r="AI257" i="1"/>
  <c r="AI13" i="1"/>
  <c r="AH13" i="1" s="1"/>
  <c r="AI14" i="1"/>
  <c r="AH14" i="1" s="1"/>
  <c r="AI15" i="1"/>
  <c r="AH15" i="1" s="1"/>
  <c r="AI16" i="1"/>
  <c r="AH16" i="1" s="1"/>
  <c r="AI17" i="1"/>
  <c r="AH17" i="1" s="1"/>
  <c r="AI18" i="1"/>
  <c r="AH18" i="1" s="1"/>
  <c r="AI19" i="1"/>
  <c r="AH19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27" i="1"/>
  <c r="AH27" i="1" s="1"/>
  <c r="AI28" i="1"/>
  <c r="AH28" i="1" s="1"/>
  <c r="AI12" i="1"/>
  <c r="AH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E55" i="1"/>
  <c r="E56" i="1"/>
  <c r="E57" i="1"/>
  <c r="E58" i="1"/>
  <c r="E60" i="1"/>
  <c r="E61" i="1"/>
  <c r="E62" i="1"/>
  <c r="E63" i="1"/>
  <c r="E64" i="1"/>
  <c r="E65" i="1"/>
  <c r="E66" i="1"/>
  <c r="E67" i="1"/>
  <c r="E70" i="1"/>
  <c r="E71" i="1"/>
  <c r="E72" i="1"/>
  <c r="E73" i="1"/>
  <c r="E74" i="1"/>
  <c r="E75" i="1"/>
  <c r="E76" i="1"/>
  <c r="E77" i="1"/>
  <c r="E78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9" i="1"/>
  <c r="E100" i="1"/>
  <c r="E101" i="1"/>
  <c r="E102" i="1"/>
  <c r="E103" i="1"/>
  <c r="E106" i="1"/>
  <c r="E107" i="1"/>
  <c r="E109" i="1"/>
  <c r="E110" i="1"/>
  <c r="E111" i="1"/>
  <c r="E112" i="1"/>
  <c r="E113" i="1"/>
  <c r="E114" i="1"/>
  <c r="E115" i="1"/>
  <c r="E116" i="1"/>
  <c r="E119" i="1"/>
  <c r="E120" i="1"/>
  <c r="E121" i="1"/>
  <c r="E122" i="1"/>
  <c r="E123" i="1"/>
  <c r="E124" i="1"/>
  <c r="E125" i="1"/>
  <c r="E127" i="1"/>
  <c r="E128" i="1"/>
  <c r="E129" i="1"/>
  <c r="E131" i="1"/>
  <c r="E132" i="1"/>
  <c r="E133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5" i="1"/>
  <c r="E166" i="1"/>
  <c r="E167" i="1"/>
  <c r="E168" i="1"/>
  <c r="E169" i="1"/>
  <c r="E170" i="1"/>
  <c r="E172" i="1"/>
  <c r="E173" i="1"/>
  <c r="E174" i="1"/>
  <c r="E176" i="1"/>
  <c r="E177" i="1"/>
  <c r="E178" i="1"/>
  <c r="E179" i="1"/>
  <c r="E180" i="1"/>
  <c r="E181" i="1"/>
  <c r="E182" i="1"/>
  <c r="E183" i="1"/>
  <c r="E184" i="1"/>
  <c r="E186" i="1"/>
  <c r="E188" i="1"/>
  <c r="E189" i="1"/>
  <c r="E191" i="1"/>
  <c r="E192" i="1"/>
  <c r="E193" i="1"/>
  <c r="E194" i="1"/>
  <c r="E195" i="1"/>
  <c r="E196" i="1"/>
  <c r="E198" i="1"/>
  <c r="E199" i="1"/>
  <c r="E200" i="1"/>
  <c r="E202" i="1"/>
  <c r="E203" i="1"/>
  <c r="E204" i="1"/>
  <c r="E205" i="1"/>
  <c r="E207" i="1"/>
  <c r="E208" i="1"/>
  <c r="E209" i="1"/>
  <c r="E211" i="1"/>
  <c r="E212" i="1"/>
  <c r="E213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12" i="1"/>
  <c r="AE12" i="1" l="1"/>
  <c r="AJ15" i="1"/>
  <c r="AJ13" i="1"/>
  <c r="AL258" i="1" l="1"/>
  <c r="AM255" i="1"/>
  <c r="AO255" i="1" s="1"/>
  <c r="AP255" i="1"/>
  <c r="AM256" i="1"/>
  <c r="AO256" i="1" s="1"/>
  <c r="AP256" i="1"/>
  <c r="AM257" i="1"/>
  <c r="AO257" i="1" s="1"/>
  <c r="AP257" i="1"/>
  <c r="AG255" i="1"/>
  <c r="AG256" i="1"/>
  <c r="AG257" i="1"/>
  <c r="AE255" i="1"/>
  <c r="AE256" i="1"/>
  <c r="AE257" i="1"/>
  <c r="AC255" i="1"/>
  <c r="AC256" i="1"/>
  <c r="AC257" i="1"/>
  <c r="AA255" i="1"/>
  <c r="AA256" i="1"/>
  <c r="AA257" i="1"/>
  <c r="Y255" i="1"/>
  <c r="Y256" i="1"/>
  <c r="Y257" i="1"/>
  <c r="W255" i="1"/>
  <c r="W256" i="1"/>
  <c r="W257" i="1"/>
  <c r="U255" i="1"/>
  <c r="U256" i="1"/>
  <c r="U257" i="1"/>
  <c r="S255" i="1"/>
  <c r="S256" i="1"/>
  <c r="S257" i="1"/>
  <c r="Q255" i="1"/>
  <c r="Q256" i="1"/>
  <c r="Q257" i="1"/>
  <c r="O255" i="1"/>
  <c r="O256" i="1"/>
  <c r="O257" i="1"/>
  <c r="M255" i="1"/>
  <c r="M256" i="1"/>
  <c r="M257" i="1"/>
  <c r="K255" i="1"/>
  <c r="K256" i="1"/>
  <c r="K257" i="1"/>
  <c r="I256" i="1"/>
  <c r="I257" i="1"/>
  <c r="G256" i="1"/>
  <c r="G257" i="1"/>
  <c r="G255" i="1"/>
  <c r="I255" i="1"/>
  <c r="AQ257" i="1" l="1"/>
  <c r="AQ255" i="1"/>
  <c r="AQ256" i="1"/>
  <c r="AR257" i="1" l="1"/>
  <c r="AR256" i="1"/>
  <c r="AR255" i="1"/>
  <c r="V18" i="1"/>
  <c r="F18" i="1"/>
  <c r="V46" i="1"/>
  <c r="Y254" i="1"/>
  <c r="G12" i="1"/>
  <c r="AP44" i="1"/>
  <c r="AM44" i="1"/>
  <c r="AO44" i="1" s="1"/>
  <c r="AG44" i="1"/>
  <c r="AE44" i="1"/>
  <c r="AC44" i="1"/>
  <c r="AA44" i="1"/>
  <c r="W44" i="1"/>
  <c r="V44" i="1"/>
  <c r="Y44" i="1" s="1"/>
  <c r="U44" i="1"/>
  <c r="S44" i="1"/>
  <c r="Q44" i="1"/>
  <c r="O44" i="1"/>
  <c r="M44" i="1"/>
  <c r="K44" i="1"/>
  <c r="G44" i="1"/>
  <c r="F44" i="1"/>
  <c r="I44" i="1" l="1"/>
  <c r="AR44" i="1" s="1"/>
  <c r="AQ44" i="1" l="1"/>
  <c r="S14" i="1" l="1"/>
  <c r="S13" i="1"/>
  <c r="AM62" i="1"/>
  <c r="AO62" i="1" s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219" i="1"/>
  <c r="AP45" i="1"/>
  <c r="AP46" i="1"/>
  <c r="AP49" i="1"/>
  <c r="AP50" i="1"/>
  <c r="AP51" i="1"/>
  <c r="AP52" i="1"/>
  <c r="AP53" i="1"/>
  <c r="AP54" i="1"/>
  <c r="AP55" i="1"/>
  <c r="AP56" i="1"/>
  <c r="AP57" i="1"/>
  <c r="AP58" i="1"/>
  <c r="AP60" i="1"/>
  <c r="AP62" i="1"/>
  <c r="AP63" i="1"/>
  <c r="AP65" i="1"/>
  <c r="AP66" i="1"/>
  <c r="AP67" i="1"/>
  <c r="AP71" i="1"/>
  <c r="AP72" i="1"/>
  <c r="AP73" i="1"/>
  <c r="AP74" i="1"/>
  <c r="AP75" i="1"/>
  <c r="AP76" i="1"/>
  <c r="AP77" i="1"/>
  <c r="AP78" i="1"/>
  <c r="AP86" i="1"/>
  <c r="AP87" i="1"/>
  <c r="AP88" i="1"/>
  <c r="AP89" i="1"/>
  <c r="AP90" i="1"/>
  <c r="AP91" i="1"/>
  <c r="AP92" i="1"/>
  <c r="AP93" i="1"/>
  <c r="AP94" i="1"/>
  <c r="AP95" i="1"/>
  <c r="AP96" i="1"/>
  <c r="AP99" i="1"/>
  <c r="AP100" i="1"/>
  <c r="AP101" i="1"/>
  <c r="AP102" i="1"/>
  <c r="AP103" i="1"/>
  <c r="AP111" i="1"/>
  <c r="AP112" i="1"/>
  <c r="AP114" i="1"/>
  <c r="AP115" i="1"/>
  <c r="AP116" i="1"/>
  <c r="AP119" i="1"/>
  <c r="AP120" i="1"/>
  <c r="AP121" i="1"/>
  <c r="AP125" i="1"/>
  <c r="AP127" i="1"/>
  <c r="AP128" i="1"/>
  <c r="AP129" i="1"/>
  <c r="AP131" i="1"/>
  <c r="AP132" i="1"/>
  <c r="AP133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6" i="1"/>
  <c r="AP167" i="1"/>
  <c r="AP168" i="1"/>
  <c r="AP169" i="1"/>
  <c r="AP173" i="1"/>
  <c r="AP176" i="1"/>
  <c r="AP177" i="1"/>
  <c r="AP178" i="1"/>
  <c r="AP179" i="1"/>
  <c r="AP180" i="1"/>
  <c r="AP181" i="1"/>
  <c r="AP182" i="1"/>
  <c r="AP183" i="1"/>
  <c r="AP184" i="1"/>
  <c r="AP186" i="1"/>
  <c r="AP188" i="1"/>
  <c r="AP192" i="1"/>
  <c r="AP193" i="1"/>
  <c r="AP194" i="1"/>
  <c r="AP195" i="1"/>
  <c r="AP196" i="1"/>
  <c r="AP198" i="1"/>
  <c r="AP199" i="1"/>
  <c r="AP200" i="1"/>
  <c r="AP202" i="1"/>
  <c r="AP203" i="1"/>
  <c r="AP204" i="1"/>
  <c r="AP205" i="1"/>
  <c r="AP207" i="1"/>
  <c r="AP208" i="1"/>
  <c r="AP209" i="1"/>
  <c r="AP211" i="1"/>
  <c r="AP212" i="1"/>
  <c r="AP213" i="1"/>
  <c r="AP215" i="1"/>
  <c r="AP216" i="1"/>
  <c r="AP217" i="1"/>
  <c r="AP218" i="1"/>
  <c r="AP220" i="1"/>
  <c r="AP221" i="1"/>
  <c r="AP222" i="1"/>
  <c r="AP223" i="1"/>
  <c r="AP224" i="1"/>
  <c r="AP225" i="1"/>
  <c r="AP226" i="1"/>
  <c r="AP227" i="1"/>
  <c r="AP228" i="1"/>
  <c r="AP229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M232" i="1"/>
  <c r="AO232" i="1" s="1"/>
  <c r="AM233" i="1"/>
  <c r="AO233" i="1" s="1"/>
  <c r="AM234" i="1"/>
  <c r="AO234" i="1" s="1"/>
  <c r="AM235" i="1"/>
  <c r="AO235" i="1" s="1"/>
  <c r="AM236" i="1"/>
  <c r="AO236" i="1" s="1"/>
  <c r="AM237" i="1"/>
  <c r="AO237" i="1" s="1"/>
  <c r="AM238" i="1"/>
  <c r="AO238" i="1" s="1"/>
  <c r="AM239" i="1"/>
  <c r="AO239" i="1" s="1"/>
  <c r="AM240" i="1"/>
  <c r="AO240" i="1" s="1"/>
  <c r="AM241" i="1"/>
  <c r="AO241" i="1" s="1"/>
  <c r="AM242" i="1"/>
  <c r="AO242" i="1" s="1"/>
  <c r="AM243" i="1"/>
  <c r="AO243" i="1" s="1"/>
  <c r="AM244" i="1"/>
  <c r="AO244" i="1" s="1"/>
  <c r="AM245" i="1"/>
  <c r="AO245" i="1" s="1"/>
  <c r="AM246" i="1"/>
  <c r="AO246" i="1" s="1"/>
  <c r="AM247" i="1"/>
  <c r="AO247" i="1" s="1"/>
  <c r="AM248" i="1"/>
  <c r="AO248" i="1" s="1"/>
  <c r="AM249" i="1"/>
  <c r="AO249" i="1" s="1"/>
  <c r="AM250" i="1"/>
  <c r="AO250" i="1" s="1"/>
  <c r="AM251" i="1"/>
  <c r="AO251" i="1" s="1"/>
  <c r="AM252" i="1"/>
  <c r="AO252" i="1" s="1"/>
  <c r="AM253" i="1"/>
  <c r="AO253" i="1" s="1"/>
  <c r="AM254" i="1"/>
  <c r="AO254" i="1" s="1"/>
  <c r="AM216" i="1"/>
  <c r="AO216" i="1" s="1"/>
  <c r="AM217" i="1"/>
  <c r="AO217" i="1" s="1"/>
  <c r="AM218" i="1"/>
  <c r="AO218" i="1" s="1"/>
  <c r="AM220" i="1"/>
  <c r="AO220" i="1" s="1"/>
  <c r="AM221" i="1"/>
  <c r="AO221" i="1" s="1"/>
  <c r="AM222" i="1"/>
  <c r="AO222" i="1" s="1"/>
  <c r="AM223" i="1"/>
  <c r="AO223" i="1" s="1"/>
  <c r="AM224" i="1"/>
  <c r="AO224" i="1" s="1"/>
  <c r="AM225" i="1"/>
  <c r="AO225" i="1" s="1"/>
  <c r="AM226" i="1"/>
  <c r="AO226" i="1" s="1"/>
  <c r="AM227" i="1"/>
  <c r="AO227" i="1" s="1"/>
  <c r="AM228" i="1"/>
  <c r="AO228" i="1" s="1"/>
  <c r="AM229" i="1"/>
  <c r="AO229" i="1" s="1"/>
  <c r="AM212" i="1"/>
  <c r="AO212" i="1" s="1"/>
  <c r="AM213" i="1"/>
  <c r="AO213" i="1" s="1"/>
  <c r="AM208" i="1"/>
  <c r="AO208" i="1" s="1"/>
  <c r="AM209" i="1"/>
  <c r="AO209" i="1" s="1"/>
  <c r="AM203" i="1"/>
  <c r="AO203" i="1" s="1"/>
  <c r="AM204" i="1"/>
  <c r="AO204" i="1" s="1"/>
  <c r="AM205" i="1"/>
  <c r="AO205" i="1" s="1"/>
  <c r="AM199" i="1"/>
  <c r="AO199" i="1" s="1"/>
  <c r="AM200" i="1"/>
  <c r="AO200" i="1" s="1"/>
  <c r="AM192" i="1"/>
  <c r="AO192" i="1" s="1"/>
  <c r="AM193" i="1"/>
  <c r="AO193" i="1" s="1"/>
  <c r="AM194" i="1"/>
  <c r="AO194" i="1" s="1"/>
  <c r="AM195" i="1"/>
  <c r="AO195" i="1" s="1"/>
  <c r="AM196" i="1"/>
  <c r="AO196" i="1" s="1"/>
  <c r="AM177" i="1"/>
  <c r="AO177" i="1" s="1"/>
  <c r="AM178" i="1"/>
  <c r="AO178" i="1" s="1"/>
  <c r="AM179" i="1"/>
  <c r="AO179" i="1" s="1"/>
  <c r="AM180" i="1"/>
  <c r="AO180" i="1" s="1"/>
  <c r="AM181" i="1"/>
  <c r="AO181" i="1" s="1"/>
  <c r="AM182" i="1"/>
  <c r="AO182" i="1" s="1"/>
  <c r="AM183" i="1"/>
  <c r="AO183" i="1" s="1"/>
  <c r="AM184" i="1"/>
  <c r="AO184" i="1" s="1"/>
  <c r="AM173" i="1"/>
  <c r="AO173" i="1" s="1"/>
  <c r="AM174" i="1"/>
  <c r="AM166" i="1"/>
  <c r="AO166" i="1" s="1"/>
  <c r="AM167" i="1"/>
  <c r="AO167" i="1" s="1"/>
  <c r="AM168" i="1"/>
  <c r="AO168" i="1" s="1"/>
  <c r="AM169" i="1"/>
  <c r="AO169" i="1" s="1"/>
  <c r="AM170" i="1"/>
  <c r="AM136" i="1"/>
  <c r="AO136" i="1" s="1"/>
  <c r="AM137" i="1"/>
  <c r="AO137" i="1" s="1"/>
  <c r="AM138" i="1"/>
  <c r="AO138" i="1" s="1"/>
  <c r="AM139" i="1"/>
  <c r="AO139" i="1" s="1"/>
  <c r="AM140" i="1"/>
  <c r="AO140" i="1" s="1"/>
  <c r="AM141" i="1"/>
  <c r="AO141" i="1" s="1"/>
  <c r="AM142" i="1"/>
  <c r="AO142" i="1" s="1"/>
  <c r="AM143" i="1"/>
  <c r="AO143" i="1" s="1"/>
  <c r="AM144" i="1"/>
  <c r="AO144" i="1" s="1"/>
  <c r="AM145" i="1"/>
  <c r="AO145" i="1" s="1"/>
  <c r="AM146" i="1"/>
  <c r="AO146" i="1" s="1"/>
  <c r="AM147" i="1"/>
  <c r="AO147" i="1" s="1"/>
  <c r="AM148" i="1"/>
  <c r="AO148" i="1" s="1"/>
  <c r="AM149" i="1"/>
  <c r="AO149" i="1" s="1"/>
  <c r="AM150" i="1"/>
  <c r="AO150" i="1" s="1"/>
  <c r="AM151" i="1"/>
  <c r="AO151" i="1" s="1"/>
  <c r="AM152" i="1"/>
  <c r="AO152" i="1" s="1"/>
  <c r="AM153" i="1"/>
  <c r="AO153" i="1" s="1"/>
  <c r="AM154" i="1"/>
  <c r="AO154" i="1" s="1"/>
  <c r="AM155" i="1"/>
  <c r="AO155" i="1" s="1"/>
  <c r="AM156" i="1"/>
  <c r="AO156" i="1" s="1"/>
  <c r="AM157" i="1"/>
  <c r="AO157" i="1" s="1"/>
  <c r="AM158" i="1"/>
  <c r="AO158" i="1" s="1"/>
  <c r="AM159" i="1"/>
  <c r="AO159" i="1" s="1"/>
  <c r="AM160" i="1"/>
  <c r="AO160" i="1" s="1"/>
  <c r="AM161" i="1"/>
  <c r="AO161" i="1" s="1"/>
  <c r="AM162" i="1"/>
  <c r="AO162" i="1" s="1"/>
  <c r="AM132" i="1"/>
  <c r="AO132" i="1" s="1"/>
  <c r="AM133" i="1"/>
  <c r="AO133" i="1" s="1"/>
  <c r="AM128" i="1"/>
  <c r="AO128" i="1" s="1"/>
  <c r="AM129" i="1"/>
  <c r="AO129" i="1" s="1"/>
  <c r="AM120" i="1"/>
  <c r="AO120" i="1" s="1"/>
  <c r="AM121" i="1"/>
  <c r="AO121" i="1" s="1"/>
  <c r="AM122" i="1"/>
  <c r="AM123" i="1"/>
  <c r="AM124" i="1"/>
  <c r="AM125" i="1"/>
  <c r="AO125" i="1" s="1"/>
  <c r="AM110" i="1"/>
  <c r="AM111" i="1"/>
  <c r="AO111" i="1" s="1"/>
  <c r="AM112" i="1"/>
  <c r="AO112" i="1" s="1"/>
  <c r="AM113" i="1"/>
  <c r="AM114" i="1"/>
  <c r="AO114" i="1" s="1"/>
  <c r="AM115" i="1"/>
  <c r="AO115" i="1" s="1"/>
  <c r="AM116" i="1"/>
  <c r="AO116" i="1" s="1"/>
  <c r="AM107" i="1"/>
  <c r="AM100" i="1"/>
  <c r="AO100" i="1" s="1"/>
  <c r="AM101" i="1"/>
  <c r="AO101" i="1" s="1"/>
  <c r="AM102" i="1"/>
  <c r="AO102" i="1" s="1"/>
  <c r="AM103" i="1"/>
  <c r="AO103" i="1" s="1"/>
  <c r="AM81" i="1"/>
  <c r="AM82" i="1"/>
  <c r="AM83" i="1"/>
  <c r="AM84" i="1"/>
  <c r="AM85" i="1"/>
  <c r="AM86" i="1"/>
  <c r="AO86" i="1" s="1"/>
  <c r="AM87" i="1"/>
  <c r="AO87" i="1" s="1"/>
  <c r="AM88" i="1"/>
  <c r="AO88" i="1" s="1"/>
  <c r="AM89" i="1"/>
  <c r="AO89" i="1" s="1"/>
  <c r="AM90" i="1"/>
  <c r="AO90" i="1" s="1"/>
  <c r="AM91" i="1"/>
  <c r="AO91" i="1" s="1"/>
  <c r="AM92" i="1"/>
  <c r="AO92" i="1" s="1"/>
  <c r="AM93" i="1"/>
  <c r="AO93" i="1" s="1"/>
  <c r="AM94" i="1"/>
  <c r="AO94" i="1" s="1"/>
  <c r="AM95" i="1"/>
  <c r="AO95" i="1" s="1"/>
  <c r="AM96" i="1"/>
  <c r="AO96" i="1" s="1"/>
  <c r="AM97" i="1"/>
  <c r="AM71" i="1"/>
  <c r="AO71" i="1" s="1"/>
  <c r="AM72" i="1"/>
  <c r="AO72" i="1" s="1"/>
  <c r="AM73" i="1"/>
  <c r="AO73" i="1" s="1"/>
  <c r="AM74" i="1"/>
  <c r="AO74" i="1" s="1"/>
  <c r="AM75" i="1"/>
  <c r="AO75" i="1" s="1"/>
  <c r="AM76" i="1"/>
  <c r="AO76" i="1" s="1"/>
  <c r="AM77" i="1"/>
  <c r="AO77" i="1" s="1"/>
  <c r="AM78" i="1"/>
  <c r="AO78" i="1" s="1"/>
  <c r="AM61" i="1"/>
  <c r="AM63" i="1"/>
  <c r="AO63" i="1" s="1"/>
  <c r="AM64" i="1"/>
  <c r="AM65" i="1"/>
  <c r="AO65" i="1" s="1"/>
  <c r="AM66" i="1"/>
  <c r="AO66" i="1" s="1"/>
  <c r="AM67" i="1"/>
  <c r="AO67" i="1" s="1"/>
  <c r="AM49" i="1"/>
  <c r="AO49" i="1" s="1"/>
  <c r="AM50" i="1"/>
  <c r="AO50" i="1" s="1"/>
  <c r="AM51" i="1"/>
  <c r="AO51" i="1" s="1"/>
  <c r="AM52" i="1"/>
  <c r="AO52" i="1" s="1"/>
  <c r="AM53" i="1"/>
  <c r="AO53" i="1" s="1"/>
  <c r="AM54" i="1"/>
  <c r="AO54" i="1" s="1"/>
  <c r="AM55" i="1"/>
  <c r="AO55" i="1" s="1"/>
  <c r="AM56" i="1"/>
  <c r="AO56" i="1" s="1"/>
  <c r="AM57" i="1"/>
  <c r="AO57" i="1" s="1"/>
  <c r="AM58" i="1"/>
  <c r="AO58" i="1" s="1"/>
  <c r="AM13" i="1"/>
  <c r="AO13" i="1" s="1"/>
  <c r="AM14" i="1"/>
  <c r="AO14" i="1" s="1"/>
  <c r="AM15" i="1"/>
  <c r="AO15" i="1" s="1"/>
  <c r="AM16" i="1"/>
  <c r="AO16" i="1" s="1"/>
  <c r="AM17" i="1"/>
  <c r="AO17" i="1" s="1"/>
  <c r="AM18" i="1"/>
  <c r="AO18" i="1" s="1"/>
  <c r="AM19" i="1"/>
  <c r="AO19" i="1" s="1"/>
  <c r="AM20" i="1"/>
  <c r="AO20" i="1" s="1"/>
  <c r="AM21" i="1"/>
  <c r="AO21" i="1" s="1"/>
  <c r="AM22" i="1"/>
  <c r="AO22" i="1" s="1"/>
  <c r="AM23" i="1"/>
  <c r="AO23" i="1" s="1"/>
  <c r="AM24" i="1"/>
  <c r="AO24" i="1" s="1"/>
  <c r="AM25" i="1"/>
  <c r="AO25" i="1" s="1"/>
  <c r="AM26" i="1"/>
  <c r="AO26" i="1" s="1"/>
  <c r="AM27" i="1"/>
  <c r="AO27" i="1" s="1"/>
  <c r="AM28" i="1"/>
  <c r="AO28" i="1" s="1"/>
  <c r="AM30" i="1"/>
  <c r="AO30" i="1" s="1"/>
  <c r="AM31" i="1"/>
  <c r="AO31" i="1" s="1"/>
  <c r="AM32" i="1"/>
  <c r="AO32" i="1" s="1"/>
  <c r="AM33" i="1"/>
  <c r="AO33" i="1" s="1"/>
  <c r="AM34" i="1"/>
  <c r="AO34" i="1" s="1"/>
  <c r="AM35" i="1"/>
  <c r="AO35" i="1" s="1"/>
  <c r="AM36" i="1"/>
  <c r="AO36" i="1" s="1"/>
  <c r="AM37" i="1"/>
  <c r="AO37" i="1" s="1"/>
  <c r="AM38" i="1"/>
  <c r="AO38" i="1" s="1"/>
  <c r="AM39" i="1"/>
  <c r="AO39" i="1" s="1"/>
  <c r="AM40" i="1"/>
  <c r="AO40" i="1" s="1"/>
  <c r="AM41" i="1"/>
  <c r="AO41" i="1" s="1"/>
  <c r="AM42" i="1"/>
  <c r="AO42" i="1" s="1"/>
  <c r="AM43" i="1"/>
  <c r="AO43" i="1" s="1"/>
  <c r="AM219" i="1"/>
  <c r="AO219" i="1" s="1"/>
  <c r="AM45" i="1"/>
  <c r="AO45" i="1" s="1"/>
  <c r="AM46" i="1"/>
  <c r="AO46" i="1" s="1"/>
  <c r="V216" i="1"/>
  <c r="AM215" i="1"/>
  <c r="AO215" i="1" s="1"/>
  <c r="AG216" i="1"/>
  <c r="AG217" i="1"/>
  <c r="AG218" i="1"/>
  <c r="AE215" i="1"/>
  <c r="AE216" i="1"/>
  <c r="AE217" i="1"/>
  <c r="AE218" i="1"/>
  <c r="AD215" i="1"/>
  <c r="AG215" i="1" s="1"/>
  <c r="AC215" i="1"/>
  <c r="AC216" i="1"/>
  <c r="AC217" i="1"/>
  <c r="AC218" i="1"/>
  <c r="AA215" i="1"/>
  <c r="AA216" i="1"/>
  <c r="AA217" i="1"/>
  <c r="AA218" i="1"/>
  <c r="Y216" i="1" l="1"/>
  <c r="Y217" i="1"/>
  <c r="Y218" i="1"/>
  <c r="W215" i="1"/>
  <c r="W216" i="1"/>
  <c r="W217" i="1"/>
  <c r="W218" i="1"/>
  <c r="V215" i="1"/>
  <c r="Y215" i="1" s="1"/>
  <c r="U215" i="1"/>
  <c r="U216" i="1"/>
  <c r="U217" i="1"/>
  <c r="U218" i="1"/>
  <c r="S215" i="1"/>
  <c r="S216" i="1"/>
  <c r="S217" i="1"/>
  <c r="S218" i="1"/>
  <c r="Q215" i="1"/>
  <c r="Q216" i="1"/>
  <c r="Q217" i="1"/>
  <c r="Q218" i="1"/>
  <c r="O215" i="1"/>
  <c r="O216" i="1"/>
  <c r="O217" i="1"/>
  <c r="O218" i="1"/>
  <c r="M215" i="1"/>
  <c r="M217" i="1"/>
  <c r="M218" i="1"/>
  <c r="K215" i="1"/>
  <c r="K216" i="1"/>
  <c r="K217" i="1"/>
  <c r="K218" i="1"/>
  <c r="J216" i="1"/>
  <c r="M216" i="1" s="1"/>
  <c r="I217" i="1"/>
  <c r="I218" i="1"/>
  <c r="G215" i="1"/>
  <c r="G216" i="1"/>
  <c r="G217" i="1"/>
  <c r="G218" i="1"/>
  <c r="F216" i="1"/>
  <c r="F215" i="1"/>
  <c r="I215" i="1" l="1"/>
  <c r="AR218" i="1"/>
  <c r="I216" i="1"/>
  <c r="AQ216" i="1" s="1"/>
  <c r="AR215" i="1"/>
  <c r="AR217" i="1"/>
  <c r="AQ218" i="1"/>
  <c r="J227" i="1"/>
  <c r="J226" i="1"/>
  <c r="AQ217" i="1" l="1"/>
  <c r="AR216" i="1"/>
  <c r="AQ215" i="1"/>
  <c r="J221" i="1"/>
  <c r="J224" i="1"/>
  <c r="AD27" i="1" l="1"/>
  <c r="F24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Q42" i="1" l="1"/>
  <c r="F14" i="1"/>
  <c r="G14" i="1"/>
  <c r="I14" i="1"/>
  <c r="K14" i="1"/>
  <c r="M14" i="1"/>
  <c r="O14" i="1"/>
  <c r="Q14" i="1"/>
  <c r="U14" i="1"/>
  <c r="V14" i="1"/>
  <c r="W14" i="1"/>
  <c r="Y14" i="1"/>
  <c r="Z14" i="1"/>
  <c r="AA14" i="1"/>
  <c r="AD14" i="1"/>
  <c r="AG14" i="1" s="1"/>
  <c r="AE14" i="1"/>
  <c r="AC14" i="1" l="1"/>
  <c r="AR42" i="1"/>
  <c r="A27" i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E77" i="1"/>
  <c r="AG77" i="1"/>
  <c r="AE78" i="1"/>
  <c r="AG78" i="1"/>
  <c r="AA77" i="1"/>
  <c r="AC77" i="1"/>
  <c r="AA78" i="1"/>
  <c r="AC78" i="1"/>
  <c r="W77" i="1"/>
  <c r="Y77" i="1"/>
  <c r="W78" i="1"/>
  <c r="Y78" i="1"/>
  <c r="S77" i="1"/>
  <c r="U77" i="1"/>
  <c r="U78" i="1"/>
  <c r="O77" i="1"/>
  <c r="Q77" i="1"/>
  <c r="O78" i="1"/>
  <c r="Q78" i="1"/>
  <c r="K77" i="1"/>
  <c r="M77" i="1"/>
  <c r="K78" i="1"/>
  <c r="M78" i="1"/>
  <c r="AR14" i="1" l="1"/>
  <c r="AQ14" i="1"/>
  <c r="A42" i="1"/>
  <c r="A43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  <c r="V61" i="1"/>
  <c r="N61" i="1"/>
  <c r="J61" i="1"/>
  <c r="F61" i="1"/>
  <c r="AG62" i="1"/>
  <c r="AE62" i="1"/>
  <c r="AC62" i="1"/>
  <c r="AA62" i="1"/>
  <c r="W62" i="1"/>
  <c r="V62" i="1"/>
  <c r="Y62" i="1" s="1"/>
  <c r="U62" i="1"/>
  <c r="S62" i="1"/>
  <c r="Q62" i="1"/>
  <c r="O62" i="1"/>
  <c r="K62" i="1"/>
  <c r="J62" i="1"/>
  <c r="M62" i="1" s="1"/>
  <c r="G62" i="1"/>
  <c r="F62" i="1"/>
  <c r="I62" i="1" l="1"/>
  <c r="AQ62" i="1" s="1"/>
  <c r="A61" i="1"/>
  <c r="A62" i="1"/>
  <c r="A64" i="1" s="1"/>
  <c r="AR62" i="1" l="1"/>
  <c r="A63" i="1"/>
  <c r="A65" i="1"/>
  <c r="A66" i="1"/>
  <c r="A67" i="1" s="1"/>
  <c r="A70" i="1" s="1"/>
  <c r="A71" i="1" s="1"/>
  <c r="A72" i="1" s="1"/>
  <c r="A73" i="1" s="1"/>
  <c r="A74" i="1" s="1"/>
  <c r="A75" i="1" s="1"/>
  <c r="A76" i="1" s="1"/>
  <c r="A77" i="1" s="1"/>
  <c r="A78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9" i="1" s="1"/>
  <c r="A100" i="1" s="1"/>
  <c r="A101" i="1" s="1"/>
  <c r="A102" i="1" s="1"/>
  <c r="A103" i="1" s="1"/>
  <c r="A106" i="1" s="1"/>
  <c r="A107" i="1" s="1"/>
  <c r="A109" i="1" s="1"/>
  <c r="A110" i="1" s="1"/>
  <c r="A111" i="1" s="1"/>
  <c r="A112" i="1" s="1"/>
  <c r="A113" i="1" s="1"/>
  <c r="A114" i="1" s="1"/>
  <c r="A115" i="1" s="1"/>
  <c r="A116" i="1" s="1"/>
  <c r="A119" i="1" s="1"/>
  <c r="A120" i="1" s="1"/>
  <c r="A121" i="1" s="1"/>
  <c r="A122" i="1" s="1"/>
  <c r="A123" i="1" s="1"/>
  <c r="A124" i="1" s="1"/>
  <c r="A125" i="1" s="1"/>
  <c r="A127" i="1" s="1"/>
  <c r="A128" i="1" s="1"/>
  <c r="A129" i="1" s="1"/>
  <c r="A131" i="1" s="1"/>
  <c r="A132" i="1" s="1"/>
  <c r="A133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5" i="1" s="1"/>
  <c r="A166" i="1" s="1"/>
  <c r="A167" i="1" s="1"/>
  <c r="A168" i="1" s="1"/>
  <c r="A169" i="1" s="1"/>
  <c r="A170" i="1" s="1"/>
  <c r="A172" i="1" s="1"/>
  <c r="A173" i="1" s="1"/>
  <c r="A174" i="1" s="1"/>
  <c r="A176" i="1" s="1"/>
  <c r="A177" i="1" s="1"/>
  <c r="A178" i="1" s="1"/>
  <c r="A179" i="1" s="1"/>
  <c r="A180" i="1" s="1"/>
  <c r="A181" i="1" s="1"/>
  <c r="A182" i="1" s="1"/>
  <c r="A183" i="1" s="1"/>
  <c r="A184" i="1" s="1"/>
  <c r="A186" i="1" s="1"/>
  <c r="A188" i="1" s="1"/>
  <c r="A189" i="1" s="1"/>
  <c r="A191" i="1" s="1"/>
  <c r="A192" i="1" s="1"/>
  <c r="A193" i="1" s="1"/>
  <c r="A194" i="1" s="1"/>
  <c r="A195" i="1" s="1"/>
  <c r="A196" i="1" s="1"/>
  <c r="A198" i="1" s="1"/>
  <c r="A199" i="1" s="1"/>
  <c r="A200" i="1" s="1"/>
  <c r="A202" i="1" s="1"/>
  <c r="A203" i="1" s="1"/>
  <c r="A204" i="1" s="1"/>
  <c r="A205" i="1" s="1"/>
  <c r="A207" i="1" s="1"/>
  <c r="A208" i="1" s="1"/>
  <c r="A209" i="1" s="1"/>
  <c r="A211" i="1" s="1"/>
  <c r="A212" i="1" s="1"/>
  <c r="A213" i="1" s="1"/>
  <c r="A215" i="1" l="1"/>
  <c r="A216" i="1" s="1"/>
  <c r="A217" i="1" s="1"/>
  <c r="A218" i="1" s="1"/>
  <c r="AM176" i="1"/>
  <c r="AO176" i="1" s="1"/>
  <c r="AG176" i="1"/>
  <c r="AE176" i="1"/>
  <c r="AC176" i="1"/>
  <c r="AA176" i="1"/>
  <c r="Y176" i="1"/>
  <c r="W176" i="1"/>
  <c r="U176" i="1"/>
  <c r="S176" i="1"/>
  <c r="Q176" i="1"/>
  <c r="O176" i="1"/>
  <c r="M176" i="1"/>
  <c r="K176" i="1"/>
  <c r="I176" i="1"/>
  <c r="G176" i="1"/>
  <c r="G77" i="1"/>
  <c r="I77" i="1"/>
  <c r="G78" i="1"/>
  <c r="I78" i="1"/>
  <c r="V177" i="1"/>
  <c r="V205" i="1"/>
  <c r="J199" i="1"/>
  <c r="V199" i="1"/>
  <c r="V198" i="1"/>
  <c r="V195" i="1"/>
  <c r="Z191" i="1"/>
  <c r="F191" i="1"/>
  <c r="V191" i="1"/>
  <c r="V188" i="1"/>
  <c r="A219" i="1" l="1"/>
  <c r="A220" i="1" s="1"/>
  <c r="A221" i="1" s="1"/>
  <c r="A222" i="1" s="1"/>
  <c r="A223" i="1" s="1"/>
  <c r="A224" i="1" s="1"/>
  <c r="A225" i="1" s="1"/>
  <c r="A226" i="1" s="1"/>
  <c r="A227" i="1" s="1"/>
  <c r="A228" i="1" s="1"/>
  <c r="AQ78" i="1"/>
  <c r="AQ77" i="1"/>
  <c r="AR176" i="1"/>
  <c r="AJ174" i="1"/>
  <c r="AG184" i="1"/>
  <c r="AE184" i="1"/>
  <c r="AA184" i="1"/>
  <c r="Z184" i="1"/>
  <c r="W184" i="1"/>
  <c r="V184" i="1"/>
  <c r="Y184" i="1" s="1"/>
  <c r="U184" i="1"/>
  <c r="S184" i="1"/>
  <c r="Q184" i="1"/>
  <c r="O184" i="1"/>
  <c r="K184" i="1"/>
  <c r="J184" i="1"/>
  <c r="M184" i="1" s="1"/>
  <c r="G184" i="1"/>
  <c r="F184" i="1"/>
  <c r="A229" i="1" l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Q176" i="1"/>
  <c r="AR77" i="1"/>
  <c r="AR78" i="1"/>
  <c r="I184" i="1"/>
  <c r="AP174" i="1"/>
  <c r="AO174" i="1"/>
  <c r="AC184" i="1"/>
  <c r="V132" i="1" l="1"/>
  <c r="F131" i="1"/>
  <c r="F129" i="1"/>
  <c r="V129" i="1"/>
  <c r="V128" i="1"/>
  <c r="V127" i="1"/>
  <c r="V107" i="1"/>
  <c r="J103" i="1"/>
  <c r="J102" i="1"/>
  <c r="J99" i="1"/>
  <c r="J71" i="1"/>
  <c r="J70" i="1"/>
  <c r="AR184" i="1" l="1"/>
  <c r="AQ184" i="1"/>
  <c r="J76" i="1"/>
  <c r="F63" i="1" l="1"/>
  <c r="V51" i="1"/>
  <c r="F51" i="1"/>
  <c r="Z48" i="1"/>
  <c r="J58" i="1"/>
  <c r="F58" i="1"/>
  <c r="F55" i="1"/>
  <c r="V54" i="1"/>
  <c r="AD54" i="1"/>
  <c r="F211" i="1" l="1"/>
  <c r="Z173" i="1" l="1"/>
  <c r="V173" i="1"/>
  <c r="J173" i="1"/>
  <c r="J170" i="1"/>
  <c r="AD170" i="1" l="1"/>
  <c r="V165" i="1" l="1"/>
  <c r="F165" i="1"/>
  <c r="F23" i="1" l="1"/>
  <c r="AE22" i="1" l="1"/>
  <c r="AD22" i="1"/>
  <c r="AG22" i="1" s="1"/>
  <c r="AC22" i="1"/>
  <c r="AA22" i="1"/>
  <c r="W22" i="1"/>
  <c r="Y22" i="1"/>
  <c r="U22" i="1"/>
  <c r="S22" i="1"/>
  <c r="Q22" i="1"/>
  <c r="O22" i="1"/>
  <c r="K22" i="1"/>
  <c r="J22" i="1"/>
  <c r="M22" i="1" s="1"/>
  <c r="G22" i="1"/>
  <c r="F22" i="1"/>
  <c r="AE18" i="1"/>
  <c r="AD18" i="1"/>
  <c r="AG18" i="1" s="1"/>
  <c r="AA18" i="1"/>
  <c r="Z18" i="1"/>
  <c r="W18" i="1"/>
  <c r="Y18" i="1"/>
  <c r="R18" i="1"/>
  <c r="Q18" i="1"/>
  <c r="O18" i="1"/>
  <c r="K18" i="1"/>
  <c r="J18" i="1"/>
  <c r="G18" i="1"/>
  <c r="AC18" i="1" l="1"/>
  <c r="U18" i="1"/>
  <c r="M18" i="1"/>
  <c r="I22" i="1"/>
  <c r="AQ22" i="1" s="1"/>
  <c r="I18" i="1"/>
  <c r="AR22" i="1" l="1"/>
  <c r="AQ18" i="1"/>
  <c r="AR18" i="1"/>
  <c r="AJ110" i="1"/>
  <c r="AJ106" i="1"/>
  <c r="AP106" i="1" s="1"/>
  <c r="AD111" i="1"/>
  <c r="V111" i="1"/>
  <c r="J111" i="1"/>
  <c r="F111" i="1"/>
  <c r="AD110" i="1"/>
  <c r="AG110" i="1" s="1"/>
  <c r="Z110" i="1"/>
  <c r="AC110" i="1" s="1"/>
  <c r="V110" i="1"/>
  <c r="Y110" i="1" s="1"/>
  <c r="R110" i="1"/>
  <c r="U110" i="1" s="1"/>
  <c r="J110" i="1"/>
  <c r="G110" i="1"/>
  <c r="I110" i="1"/>
  <c r="K110" i="1"/>
  <c r="O110" i="1"/>
  <c r="Q110" i="1"/>
  <c r="S110" i="1"/>
  <c r="W110" i="1"/>
  <c r="AA110" i="1"/>
  <c r="AE110" i="1"/>
  <c r="V109" i="1"/>
  <c r="AD109" i="1"/>
  <c r="R109" i="1"/>
  <c r="F109" i="1"/>
  <c r="M110" i="1" l="1"/>
  <c r="AP110" i="1"/>
  <c r="AO110" i="1"/>
  <c r="R107" i="1"/>
  <c r="J107" i="1"/>
  <c r="F107" i="1"/>
  <c r="AR110" i="1" l="1"/>
  <c r="AQ110" i="1"/>
  <c r="V80" i="1"/>
  <c r="V49" i="1"/>
  <c r="AM48" i="1" l="1"/>
  <c r="AM60" i="1"/>
  <c r="AO60" i="1" s="1"/>
  <c r="AM70" i="1"/>
  <c r="AM80" i="1"/>
  <c r="AM99" i="1"/>
  <c r="AO99" i="1" s="1"/>
  <c r="AM106" i="1"/>
  <c r="AO106" i="1" s="1"/>
  <c r="AM109" i="1"/>
  <c r="AM119" i="1"/>
  <c r="AO119" i="1" s="1"/>
  <c r="AM127" i="1"/>
  <c r="AO127" i="1" s="1"/>
  <c r="AM131" i="1"/>
  <c r="AO131" i="1" s="1"/>
  <c r="AM135" i="1"/>
  <c r="AO135" i="1" s="1"/>
  <c r="AM165" i="1"/>
  <c r="AM172" i="1"/>
  <c r="AM186" i="1"/>
  <c r="AO186" i="1" s="1"/>
  <c r="AM202" i="1"/>
  <c r="AO202" i="1" s="1"/>
  <c r="AM189" i="1"/>
  <c r="AM207" i="1"/>
  <c r="AO207" i="1" s="1"/>
  <c r="AM211" i="1"/>
  <c r="AO211" i="1" s="1"/>
  <c r="AM191" i="1"/>
  <c r="AM188" i="1"/>
  <c r="AO188" i="1" s="1"/>
  <c r="AM198" i="1"/>
  <c r="AO198" i="1" s="1"/>
  <c r="AM231" i="1"/>
  <c r="AO231" i="1" s="1"/>
  <c r="O229" i="1" l="1"/>
  <c r="U229" i="1"/>
  <c r="AE51" i="1"/>
  <c r="K51" i="1" l="1"/>
  <c r="O51" i="1"/>
  <c r="AA15" i="1" l="1"/>
  <c r="AA16" i="1"/>
  <c r="AA17" i="1"/>
  <c r="AA19" i="1"/>
  <c r="AA20" i="1"/>
  <c r="AA21" i="1"/>
  <c r="AA23" i="1"/>
  <c r="AA24" i="1"/>
  <c r="AA25" i="1"/>
  <c r="AA26" i="1"/>
  <c r="AA27" i="1"/>
  <c r="AA28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3" i="1"/>
  <c r="AA219" i="1"/>
  <c r="AA45" i="1"/>
  <c r="AA46" i="1"/>
  <c r="AA48" i="1"/>
  <c r="AA49" i="1"/>
  <c r="AA50" i="1"/>
  <c r="AA51" i="1"/>
  <c r="AA52" i="1"/>
  <c r="AA53" i="1"/>
  <c r="AA54" i="1"/>
  <c r="AA60" i="1"/>
  <c r="AA61" i="1"/>
  <c r="AA55" i="1"/>
  <c r="AA56" i="1"/>
  <c r="AA63" i="1"/>
  <c r="AA64" i="1"/>
  <c r="AA65" i="1"/>
  <c r="AA66" i="1"/>
  <c r="AA67" i="1"/>
  <c r="AA58" i="1"/>
  <c r="AA57" i="1"/>
  <c r="AA70" i="1"/>
  <c r="AA71" i="1"/>
  <c r="AA72" i="1"/>
  <c r="AA73" i="1"/>
  <c r="AA74" i="1"/>
  <c r="AA75" i="1"/>
  <c r="AA76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9" i="1"/>
  <c r="AA100" i="1"/>
  <c r="AA101" i="1"/>
  <c r="AA102" i="1"/>
  <c r="AA103" i="1"/>
  <c r="AA106" i="1"/>
  <c r="AA107" i="1"/>
  <c r="AA109" i="1"/>
  <c r="AA111" i="1"/>
  <c r="AA112" i="1"/>
  <c r="AA113" i="1"/>
  <c r="AA114" i="1"/>
  <c r="AA115" i="1"/>
  <c r="AA116" i="1"/>
  <c r="AA119" i="1"/>
  <c r="AA120" i="1"/>
  <c r="AA121" i="1"/>
  <c r="AA122" i="1"/>
  <c r="AA123" i="1"/>
  <c r="AA124" i="1"/>
  <c r="AA125" i="1"/>
  <c r="AA127" i="1"/>
  <c r="AA128" i="1"/>
  <c r="AA129" i="1"/>
  <c r="AA131" i="1"/>
  <c r="AA132" i="1"/>
  <c r="AA133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5" i="1"/>
  <c r="AA166" i="1"/>
  <c r="AA167" i="1"/>
  <c r="AA168" i="1"/>
  <c r="AA169" i="1"/>
  <c r="AA170" i="1"/>
  <c r="AA177" i="1"/>
  <c r="AA178" i="1"/>
  <c r="AA179" i="1"/>
  <c r="AA180" i="1"/>
  <c r="AA181" i="1"/>
  <c r="AA172" i="1"/>
  <c r="AA173" i="1"/>
  <c r="AA182" i="1"/>
  <c r="AA183" i="1"/>
  <c r="AA174" i="1"/>
  <c r="AA186" i="1"/>
  <c r="AA202" i="1"/>
  <c r="AA203" i="1"/>
  <c r="AA204" i="1"/>
  <c r="AA189" i="1"/>
  <c r="AA207" i="1"/>
  <c r="AA208" i="1"/>
  <c r="AA209" i="1"/>
  <c r="AA205" i="1"/>
  <c r="AA211" i="1"/>
  <c r="AA212" i="1"/>
  <c r="AA191" i="1"/>
  <c r="AA192" i="1"/>
  <c r="AA193" i="1"/>
  <c r="AA194" i="1"/>
  <c r="AA195" i="1"/>
  <c r="AA196" i="1"/>
  <c r="AA213" i="1"/>
  <c r="AA188" i="1"/>
  <c r="AA198" i="1"/>
  <c r="AA199" i="1"/>
  <c r="AA200" i="1"/>
  <c r="AA220" i="1"/>
  <c r="AA221" i="1"/>
  <c r="AA222" i="1"/>
  <c r="AA223" i="1"/>
  <c r="AA224" i="1"/>
  <c r="AA225" i="1"/>
  <c r="AA226" i="1"/>
  <c r="AA227" i="1"/>
  <c r="AA228" i="1"/>
  <c r="AA229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W15" i="1"/>
  <c r="W16" i="1"/>
  <c r="W17" i="1"/>
  <c r="W19" i="1"/>
  <c r="W20" i="1"/>
  <c r="W21" i="1"/>
  <c r="W23" i="1"/>
  <c r="W24" i="1"/>
  <c r="W25" i="1"/>
  <c r="W26" i="1"/>
  <c r="W27" i="1"/>
  <c r="W28" i="1"/>
  <c r="W30" i="1"/>
  <c r="W31" i="1"/>
  <c r="W32" i="1"/>
  <c r="W33" i="1"/>
  <c r="W34" i="1"/>
  <c r="W35" i="1"/>
  <c r="W36" i="1"/>
  <c r="W37" i="1"/>
  <c r="W38" i="1"/>
  <c r="W39" i="1"/>
  <c r="W40" i="1"/>
  <c r="W41" i="1"/>
  <c r="W43" i="1"/>
  <c r="W219" i="1"/>
  <c r="W45" i="1"/>
  <c r="W46" i="1"/>
  <c r="W48" i="1"/>
  <c r="W49" i="1"/>
  <c r="W50" i="1"/>
  <c r="W51" i="1"/>
  <c r="W52" i="1"/>
  <c r="W53" i="1"/>
  <c r="W54" i="1"/>
  <c r="W60" i="1"/>
  <c r="W61" i="1"/>
  <c r="W55" i="1"/>
  <c r="W56" i="1"/>
  <c r="W63" i="1"/>
  <c r="W64" i="1"/>
  <c r="W65" i="1"/>
  <c r="W66" i="1"/>
  <c r="W67" i="1"/>
  <c r="W58" i="1"/>
  <c r="W57" i="1"/>
  <c r="W70" i="1"/>
  <c r="W71" i="1"/>
  <c r="W72" i="1"/>
  <c r="W73" i="1"/>
  <c r="W74" i="1"/>
  <c r="W75" i="1"/>
  <c r="W76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9" i="1"/>
  <c r="W100" i="1"/>
  <c r="W101" i="1"/>
  <c r="W102" i="1"/>
  <c r="W103" i="1"/>
  <c r="W106" i="1"/>
  <c r="W107" i="1"/>
  <c r="W109" i="1"/>
  <c r="W111" i="1"/>
  <c r="W112" i="1"/>
  <c r="W113" i="1"/>
  <c r="W114" i="1"/>
  <c r="W115" i="1"/>
  <c r="W116" i="1"/>
  <c r="W119" i="1"/>
  <c r="W120" i="1"/>
  <c r="W121" i="1"/>
  <c r="W122" i="1"/>
  <c r="W123" i="1"/>
  <c r="W124" i="1"/>
  <c r="W125" i="1"/>
  <c r="W127" i="1"/>
  <c r="W128" i="1"/>
  <c r="W129" i="1"/>
  <c r="W131" i="1"/>
  <c r="W132" i="1"/>
  <c r="W133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5" i="1"/>
  <c r="W166" i="1"/>
  <c r="W167" i="1"/>
  <c r="W168" i="1"/>
  <c r="W169" i="1"/>
  <c r="W170" i="1"/>
  <c r="W177" i="1"/>
  <c r="W178" i="1"/>
  <c r="W179" i="1"/>
  <c r="W180" i="1"/>
  <c r="W181" i="1"/>
  <c r="W172" i="1"/>
  <c r="W173" i="1"/>
  <c r="W182" i="1"/>
  <c r="W183" i="1"/>
  <c r="W174" i="1"/>
  <c r="W186" i="1"/>
  <c r="W202" i="1"/>
  <c r="W203" i="1"/>
  <c r="W204" i="1"/>
  <c r="W189" i="1"/>
  <c r="W207" i="1"/>
  <c r="W208" i="1"/>
  <c r="W209" i="1"/>
  <c r="W205" i="1"/>
  <c r="W211" i="1"/>
  <c r="W212" i="1"/>
  <c r="W191" i="1"/>
  <c r="W192" i="1"/>
  <c r="W193" i="1"/>
  <c r="W194" i="1"/>
  <c r="W195" i="1"/>
  <c r="W196" i="1"/>
  <c r="W213" i="1"/>
  <c r="W188" i="1"/>
  <c r="W198" i="1"/>
  <c r="W199" i="1"/>
  <c r="W200" i="1"/>
  <c r="W220" i="1"/>
  <c r="W221" i="1"/>
  <c r="W222" i="1"/>
  <c r="W223" i="1"/>
  <c r="W224" i="1"/>
  <c r="W225" i="1"/>
  <c r="W226" i="1"/>
  <c r="W227" i="1"/>
  <c r="W228" i="1"/>
  <c r="W229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S16" i="1"/>
  <c r="S19" i="1"/>
  <c r="S20" i="1"/>
  <c r="S21" i="1"/>
  <c r="S23" i="1"/>
  <c r="S25" i="1"/>
  <c r="S26" i="1"/>
  <c r="S27" i="1"/>
  <c r="S30" i="1"/>
  <c r="S31" i="1"/>
  <c r="S33" i="1"/>
  <c r="S34" i="1"/>
  <c r="S35" i="1"/>
  <c r="S37" i="1"/>
  <c r="S38" i="1"/>
  <c r="S39" i="1"/>
  <c r="S41" i="1"/>
  <c r="S43" i="1"/>
  <c r="S45" i="1"/>
  <c r="S46" i="1"/>
  <c r="S48" i="1"/>
  <c r="S49" i="1"/>
  <c r="S50" i="1"/>
  <c r="S52" i="1"/>
  <c r="S53" i="1"/>
  <c r="S54" i="1"/>
  <c r="S61" i="1"/>
  <c r="S55" i="1"/>
  <c r="S56" i="1"/>
  <c r="S64" i="1"/>
  <c r="S65" i="1"/>
  <c r="S67" i="1"/>
  <c r="S58" i="1"/>
  <c r="S57" i="1"/>
  <c r="S70" i="1"/>
  <c r="S71" i="1"/>
  <c r="S73" i="1"/>
  <c r="S74" i="1"/>
  <c r="S75" i="1"/>
  <c r="S80" i="1"/>
  <c r="S81" i="1"/>
  <c r="S83" i="1"/>
  <c r="S84" i="1"/>
  <c r="S85" i="1"/>
  <c r="S87" i="1"/>
  <c r="S88" i="1"/>
  <c r="S89" i="1"/>
  <c r="S91" i="1"/>
  <c r="S92" i="1"/>
  <c r="S93" i="1"/>
  <c r="S95" i="1"/>
  <c r="S96" i="1"/>
  <c r="S97" i="1"/>
  <c r="S99" i="1"/>
  <c r="S100" i="1"/>
  <c r="S101" i="1"/>
  <c r="S103" i="1"/>
  <c r="S107" i="1"/>
  <c r="S111" i="1"/>
  <c r="S113" i="1"/>
  <c r="S114" i="1"/>
  <c r="S115" i="1"/>
  <c r="S119" i="1"/>
  <c r="S121" i="1"/>
  <c r="S122" i="1"/>
  <c r="S123" i="1"/>
  <c r="S125" i="1"/>
  <c r="S127" i="1"/>
  <c r="S129" i="1"/>
  <c r="S131" i="1"/>
  <c r="S133" i="1"/>
  <c r="S135" i="1"/>
  <c r="S137" i="1"/>
  <c r="S138" i="1"/>
  <c r="S139" i="1"/>
  <c r="S141" i="1"/>
  <c r="S142" i="1"/>
  <c r="S143" i="1"/>
  <c r="S145" i="1"/>
  <c r="S146" i="1"/>
  <c r="S147" i="1"/>
  <c r="S149" i="1"/>
  <c r="S150" i="1"/>
  <c r="S151" i="1"/>
  <c r="S153" i="1"/>
  <c r="S154" i="1"/>
  <c r="S155" i="1"/>
  <c r="S157" i="1"/>
  <c r="S158" i="1"/>
  <c r="S159" i="1"/>
  <c r="S161" i="1"/>
  <c r="S162" i="1"/>
  <c r="S165" i="1"/>
  <c r="S166" i="1"/>
  <c r="S167" i="1"/>
  <c r="S169" i="1"/>
  <c r="S170" i="1"/>
  <c r="S178" i="1"/>
  <c r="S179" i="1"/>
  <c r="S180" i="1"/>
  <c r="S172" i="1"/>
  <c r="S173" i="1"/>
  <c r="S182" i="1"/>
  <c r="S183" i="1"/>
  <c r="S174" i="1"/>
  <c r="S186" i="1"/>
  <c r="S202" i="1"/>
  <c r="S203" i="1"/>
  <c r="S204" i="1"/>
  <c r="S189" i="1"/>
  <c r="S207" i="1"/>
  <c r="S208" i="1"/>
  <c r="S209" i="1"/>
  <c r="S211" i="1"/>
  <c r="S212" i="1"/>
  <c r="S191" i="1"/>
  <c r="S192" i="1"/>
  <c r="S193" i="1"/>
  <c r="S195" i="1"/>
  <c r="S196" i="1"/>
  <c r="S213" i="1"/>
  <c r="S188" i="1"/>
  <c r="S198" i="1"/>
  <c r="S199" i="1"/>
  <c r="S200" i="1"/>
  <c r="S220" i="1"/>
  <c r="S221" i="1"/>
  <c r="S222" i="1"/>
  <c r="S224" i="1"/>
  <c r="S225" i="1"/>
  <c r="S226" i="1"/>
  <c r="S228" i="1"/>
  <c r="S229" i="1"/>
  <c r="S231" i="1"/>
  <c r="S232" i="1"/>
  <c r="S233" i="1"/>
  <c r="S235" i="1"/>
  <c r="S236" i="1"/>
  <c r="S237" i="1"/>
  <c r="S239" i="1"/>
  <c r="S240" i="1"/>
  <c r="S241" i="1"/>
  <c r="S243" i="1"/>
  <c r="S244" i="1"/>
  <c r="S245" i="1"/>
  <c r="S247" i="1"/>
  <c r="S248" i="1"/>
  <c r="S250" i="1"/>
  <c r="S251" i="1"/>
  <c r="S252" i="1"/>
  <c r="S253" i="1"/>
  <c r="S254" i="1"/>
  <c r="S15" i="1"/>
  <c r="G13" i="1" l="1"/>
  <c r="G15" i="1"/>
  <c r="G16" i="1"/>
  <c r="G17" i="1"/>
  <c r="G19" i="1"/>
  <c r="G20" i="1"/>
  <c r="G21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3" i="1"/>
  <c r="G219" i="1"/>
  <c r="G45" i="1"/>
  <c r="G46" i="1"/>
  <c r="G48" i="1"/>
  <c r="G49" i="1"/>
  <c r="G50" i="1"/>
  <c r="G51" i="1"/>
  <c r="G52" i="1"/>
  <c r="G53" i="1"/>
  <c r="G54" i="1"/>
  <c r="G60" i="1"/>
  <c r="G61" i="1"/>
  <c r="G55" i="1"/>
  <c r="G56" i="1"/>
  <c r="G63" i="1"/>
  <c r="G64" i="1"/>
  <c r="G65" i="1"/>
  <c r="G66" i="1"/>
  <c r="G67" i="1"/>
  <c r="G58" i="1"/>
  <c r="G57" i="1"/>
  <c r="G70" i="1"/>
  <c r="G71" i="1"/>
  <c r="G72" i="1"/>
  <c r="G73" i="1"/>
  <c r="G74" i="1"/>
  <c r="G75" i="1"/>
  <c r="G76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9" i="1"/>
  <c r="G100" i="1"/>
  <c r="G101" i="1"/>
  <c r="G102" i="1"/>
  <c r="G103" i="1"/>
  <c r="G106" i="1"/>
  <c r="G107" i="1"/>
  <c r="G109" i="1"/>
  <c r="G111" i="1"/>
  <c r="G112" i="1"/>
  <c r="G113" i="1"/>
  <c r="G114" i="1"/>
  <c r="G115" i="1"/>
  <c r="G116" i="1"/>
  <c r="G119" i="1"/>
  <c r="G120" i="1"/>
  <c r="G121" i="1"/>
  <c r="G122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5" i="1"/>
  <c r="G166" i="1"/>
  <c r="G167" i="1"/>
  <c r="G168" i="1"/>
  <c r="G169" i="1"/>
  <c r="G170" i="1"/>
  <c r="G177" i="1"/>
  <c r="G178" i="1"/>
  <c r="G179" i="1"/>
  <c r="G180" i="1"/>
  <c r="G181" i="1"/>
  <c r="G172" i="1"/>
  <c r="G173" i="1"/>
  <c r="G182" i="1"/>
  <c r="G183" i="1"/>
  <c r="G174" i="1"/>
  <c r="G186" i="1"/>
  <c r="G202" i="1"/>
  <c r="G203" i="1"/>
  <c r="G204" i="1"/>
  <c r="G189" i="1"/>
  <c r="G207" i="1"/>
  <c r="G208" i="1"/>
  <c r="G209" i="1"/>
  <c r="G205" i="1"/>
  <c r="G211" i="1"/>
  <c r="G212" i="1"/>
  <c r="G191" i="1"/>
  <c r="G192" i="1"/>
  <c r="G193" i="1"/>
  <c r="G194" i="1"/>
  <c r="G195" i="1"/>
  <c r="G196" i="1"/>
  <c r="G213" i="1"/>
  <c r="G188" i="1"/>
  <c r="G198" i="1"/>
  <c r="G199" i="1"/>
  <c r="G200" i="1"/>
  <c r="G220" i="1"/>
  <c r="G221" i="1"/>
  <c r="G222" i="1"/>
  <c r="G223" i="1"/>
  <c r="G224" i="1"/>
  <c r="G225" i="1"/>
  <c r="G226" i="1"/>
  <c r="G227" i="1"/>
  <c r="G228" i="1"/>
  <c r="G229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J225" i="1" l="1"/>
  <c r="J198" i="1"/>
  <c r="J80" i="1"/>
  <c r="J49" i="1"/>
  <c r="AJ170" i="1"/>
  <c r="V168" i="1"/>
  <c r="R168" i="1"/>
  <c r="J168" i="1"/>
  <c r="F168" i="1"/>
  <c r="AJ165" i="1"/>
  <c r="AJ113" i="1"/>
  <c r="AJ109" i="1"/>
  <c r="AJ107" i="1"/>
  <c r="AD106" i="1"/>
  <c r="V106" i="1"/>
  <c r="J106" i="1"/>
  <c r="F106" i="1"/>
  <c r="AJ97" i="1"/>
  <c r="AJ84" i="1"/>
  <c r="AJ83" i="1"/>
  <c r="AJ82" i="1"/>
  <c r="AJ81" i="1"/>
  <c r="AJ80" i="1"/>
  <c r="AP81" i="1" l="1"/>
  <c r="AO81" i="1"/>
  <c r="AP83" i="1"/>
  <c r="AO83" i="1"/>
  <c r="AP84" i="1"/>
  <c r="AO84" i="1"/>
  <c r="AP109" i="1"/>
  <c r="AO109" i="1"/>
  <c r="AP165" i="1"/>
  <c r="AO165" i="1"/>
  <c r="AP80" i="1"/>
  <c r="AO80" i="1"/>
  <c r="AP82" i="1"/>
  <c r="AO82" i="1"/>
  <c r="AP97" i="1"/>
  <c r="AO97" i="1"/>
  <c r="AP107" i="1"/>
  <c r="AO107" i="1"/>
  <c r="AP113" i="1"/>
  <c r="AO113" i="1"/>
  <c r="AP170" i="1"/>
  <c r="AO170" i="1"/>
  <c r="AC51" i="1"/>
  <c r="Y51" i="1"/>
  <c r="I51" i="1"/>
  <c r="AJ48" i="1"/>
  <c r="AD48" i="1"/>
  <c r="V48" i="1"/>
  <c r="F48" i="1"/>
  <c r="AP48" i="1" l="1"/>
  <c r="AO48" i="1"/>
  <c r="AC229" i="1"/>
  <c r="Q229" i="1"/>
  <c r="AD229" i="1" l="1"/>
  <c r="V229" i="1"/>
  <c r="Y229" i="1" s="1"/>
  <c r="J229" i="1"/>
  <c r="M229" i="1" s="1"/>
  <c r="F229" i="1"/>
  <c r="I229" i="1" l="1"/>
  <c r="AR229" i="1" s="1"/>
  <c r="V222" i="1"/>
  <c r="R222" i="1"/>
  <c r="J222" i="1"/>
  <c r="F222" i="1"/>
  <c r="Z221" i="1"/>
  <c r="AD221" i="1"/>
  <c r="AQ229" i="1" l="1"/>
  <c r="I12" i="1"/>
  <c r="U51" i="1"/>
  <c r="Q51" i="1"/>
  <c r="AC111" i="1" l="1"/>
  <c r="Q111" i="1"/>
  <c r="AG107" i="1" l="1"/>
  <c r="AE107" i="1"/>
  <c r="Q107" i="1"/>
  <c r="O107" i="1"/>
  <c r="O106" i="1"/>
  <c r="M107" i="1"/>
  <c r="K107" i="1"/>
  <c r="AE84" i="1"/>
  <c r="AG84" i="1"/>
  <c r="AE81" i="1"/>
  <c r="AG81" i="1"/>
  <c r="AE82" i="1"/>
  <c r="AG82" i="1"/>
  <c r="AE83" i="1"/>
  <c r="AG83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Y83" i="1"/>
  <c r="U82" i="1"/>
  <c r="U83" i="1"/>
  <c r="U84" i="1"/>
  <c r="O81" i="1"/>
  <c r="O82" i="1"/>
  <c r="Q82" i="1"/>
  <c r="O83" i="1"/>
  <c r="K81" i="1"/>
  <c r="M81" i="1"/>
  <c r="K82" i="1"/>
  <c r="K83" i="1"/>
  <c r="K84" i="1"/>
  <c r="K85" i="1"/>
  <c r="M85" i="1"/>
  <c r="I83" i="1"/>
  <c r="I84" i="1"/>
  <c r="AG254" i="1"/>
  <c r="AE254" i="1"/>
  <c r="AC254" i="1"/>
  <c r="U254" i="1"/>
  <c r="Q254" i="1"/>
  <c r="O254" i="1"/>
  <c r="M254" i="1"/>
  <c r="K254" i="1"/>
  <c r="I254" i="1"/>
  <c r="AJ172" i="1"/>
  <c r="V237" i="1"/>
  <c r="F226" i="1"/>
  <c r="R225" i="1"/>
  <c r="F200" i="1"/>
  <c r="F199" i="1"/>
  <c r="J196" i="1"/>
  <c r="J195" i="1"/>
  <c r="V194" i="1"/>
  <c r="J194" i="1"/>
  <c r="J193" i="1"/>
  <c r="V192" i="1"/>
  <c r="AD205" i="1"/>
  <c r="J205" i="1"/>
  <c r="F205" i="1"/>
  <c r="V207" i="1"/>
  <c r="J207" i="1"/>
  <c r="V189" i="1"/>
  <c r="J189" i="1"/>
  <c r="F189" i="1"/>
  <c r="R204" i="1"/>
  <c r="J204" i="1"/>
  <c r="F204" i="1"/>
  <c r="V203" i="1"/>
  <c r="R203" i="1"/>
  <c r="J203" i="1"/>
  <c r="F203" i="1"/>
  <c r="V186" i="1"/>
  <c r="J186" i="1"/>
  <c r="F186" i="1"/>
  <c r="Z174" i="1"/>
  <c r="V174" i="1"/>
  <c r="J174" i="1"/>
  <c r="F174" i="1"/>
  <c r="V183" i="1"/>
  <c r="J183" i="1"/>
  <c r="F183" i="1"/>
  <c r="V182" i="1"/>
  <c r="J182" i="1"/>
  <c r="F182" i="1"/>
  <c r="AP172" i="1" l="1"/>
  <c r="AO172" i="1"/>
  <c r="AQ254" i="1"/>
  <c r="AR254" i="1" l="1"/>
  <c r="V179" i="1"/>
  <c r="R179" i="1"/>
  <c r="J179" i="1"/>
  <c r="V167" i="1"/>
  <c r="J167" i="1"/>
  <c r="V131" i="1"/>
  <c r="Z129" i="1"/>
  <c r="R123" i="1"/>
  <c r="V120" i="1"/>
  <c r="F120" i="1"/>
  <c r="V119" i="1"/>
  <c r="V113" i="1"/>
  <c r="J113" i="1"/>
  <c r="F113" i="1"/>
  <c r="V112" i="1"/>
  <c r="J112" i="1"/>
  <c r="AG51" i="1"/>
  <c r="M51" i="1"/>
  <c r="AR51" i="1" l="1"/>
  <c r="AE46" i="1"/>
  <c r="Y46" i="1"/>
  <c r="Q46" i="1"/>
  <c r="O46" i="1"/>
  <c r="M46" i="1"/>
  <c r="K46" i="1"/>
  <c r="I46" i="1"/>
  <c r="AQ51" i="1" l="1"/>
  <c r="AC46" i="1"/>
  <c r="AG46" i="1"/>
  <c r="V43" i="1"/>
  <c r="J43" i="1"/>
  <c r="U46" i="1" l="1"/>
  <c r="AJ64" i="1"/>
  <c r="AJ61" i="1"/>
  <c r="AP64" i="1" l="1"/>
  <c r="AO64" i="1"/>
  <c r="AR46" i="1"/>
  <c r="AQ46" i="1"/>
  <c r="AP61" i="1"/>
  <c r="AO61" i="1"/>
  <c r="R227" i="1"/>
  <c r="V227" i="1"/>
  <c r="F227" i="1"/>
  <c r="R228" i="1"/>
  <c r="F253" i="1"/>
  <c r="Z107" i="1"/>
  <c r="Y107" i="1"/>
  <c r="U107" i="1"/>
  <c r="I107" i="1"/>
  <c r="Z103" i="1"/>
  <c r="V103" i="1"/>
  <c r="R103" i="1"/>
  <c r="F103" i="1"/>
  <c r="V102" i="1"/>
  <c r="R102" i="1"/>
  <c r="F102" i="1"/>
  <c r="V100" i="1"/>
  <c r="J100" i="1"/>
  <c r="V99" i="1"/>
  <c r="F99" i="1"/>
  <c r="V84" i="1"/>
  <c r="Y84" i="1" s="1"/>
  <c r="J84" i="1"/>
  <c r="N83" i="1"/>
  <c r="Q83" i="1" s="1"/>
  <c r="J83" i="1"/>
  <c r="V82" i="1"/>
  <c r="Y82" i="1" s="1"/>
  <c r="J82" i="1"/>
  <c r="M82" i="1" s="1"/>
  <c r="F82" i="1"/>
  <c r="I82" i="1" l="1"/>
  <c r="AR82" i="1" s="1"/>
  <c r="M83" i="1"/>
  <c r="AR83" i="1" s="1"/>
  <c r="M84" i="1"/>
  <c r="AC107" i="1"/>
  <c r="AR107" i="1" s="1"/>
  <c r="R81" i="1"/>
  <c r="U81" i="1" s="1"/>
  <c r="V81" i="1"/>
  <c r="Y81" i="1" s="1"/>
  <c r="N81" i="1"/>
  <c r="Q81" i="1" s="1"/>
  <c r="F81" i="1"/>
  <c r="R80" i="1"/>
  <c r="F80" i="1"/>
  <c r="F76" i="1"/>
  <c r="V75" i="1"/>
  <c r="J75" i="1"/>
  <c r="V71" i="1"/>
  <c r="F71" i="1"/>
  <c r="N70" i="1"/>
  <c r="Z70" i="1"/>
  <c r="R70" i="1"/>
  <c r="V67" i="1"/>
  <c r="J67" i="1"/>
  <c r="F67" i="1"/>
  <c r="V66" i="1"/>
  <c r="J66" i="1"/>
  <c r="J65" i="1"/>
  <c r="V65" i="1"/>
  <c r="F65" i="1"/>
  <c r="V64" i="1"/>
  <c r="AD64" i="1"/>
  <c r="Z64" i="1"/>
  <c r="J64" i="1"/>
  <c r="F64" i="1"/>
  <c r="N56" i="1"/>
  <c r="AD61" i="1"/>
  <c r="V60" i="1"/>
  <c r="J60" i="1"/>
  <c r="F60" i="1"/>
  <c r="J54" i="1"/>
  <c r="F54" i="1"/>
  <c r="F53" i="1"/>
  <c r="V53" i="1"/>
  <c r="J53" i="1"/>
  <c r="V52" i="1"/>
  <c r="Z49" i="1"/>
  <c r="F49" i="1"/>
  <c r="AQ107" i="1" l="1"/>
  <c r="AQ83" i="1"/>
  <c r="I81" i="1"/>
  <c r="AR81" i="1" s="1"/>
  <c r="AQ82" i="1"/>
  <c r="F27" i="1"/>
  <c r="AQ81" i="1" l="1"/>
  <c r="J21" i="1"/>
  <c r="F19" i="1"/>
  <c r="V19" i="1"/>
  <c r="J19" i="1"/>
  <c r="AJ191" i="1"/>
  <c r="AJ189" i="1"/>
  <c r="AJ124" i="1"/>
  <c r="AJ123" i="1"/>
  <c r="AJ122" i="1"/>
  <c r="AJ85" i="1"/>
  <c r="AJ70" i="1"/>
  <c r="AJ258" i="1" s="1"/>
  <c r="N48" i="1"/>
  <c r="R43" i="1"/>
  <c r="F43" i="1"/>
  <c r="V23" i="1"/>
  <c r="J23" i="1"/>
  <c r="V21" i="1"/>
  <c r="R21" i="1"/>
  <c r="F21" i="1"/>
  <c r="R20" i="1"/>
  <c r="Z19" i="1"/>
  <c r="Z258" i="1" s="1"/>
  <c r="V16" i="1"/>
  <c r="N258" i="1" l="1"/>
  <c r="R258" i="1"/>
  <c r="F258" i="1"/>
  <c r="AP85" i="1"/>
  <c r="AO85" i="1"/>
  <c r="AP123" i="1"/>
  <c r="AO123" i="1"/>
  <c r="AP189" i="1"/>
  <c r="AO189" i="1"/>
  <c r="AP70" i="1"/>
  <c r="AO70" i="1"/>
  <c r="AP122" i="1"/>
  <c r="AO122" i="1"/>
  <c r="AP124" i="1"/>
  <c r="AO124" i="1"/>
  <c r="AP191" i="1"/>
  <c r="AO191" i="1"/>
  <c r="V12" i="1"/>
  <c r="V258" i="1" s="1"/>
  <c r="J12" i="1"/>
  <c r="AD227" i="1"/>
  <c r="J258" i="1" l="1"/>
  <c r="AD23" i="1"/>
  <c r="AD21" i="1"/>
  <c r="AD20" i="1"/>
  <c r="AD19" i="1"/>
  <c r="AD16" i="1"/>
  <c r="AD13" i="1"/>
  <c r="AD12" i="1"/>
  <c r="AD258" i="1" l="1"/>
  <c r="E258" i="1" l="1"/>
  <c r="AP12" i="1"/>
  <c r="AP258" i="1" s="1"/>
  <c r="AG13" i="1"/>
  <c r="AG15" i="1"/>
  <c r="AG16" i="1"/>
  <c r="AG17" i="1"/>
  <c r="AG19" i="1"/>
  <c r="AG20" i="1"/>
  <c r="AG21" i="1"/>
  <c r="AG23" i="1"/>
  <c r="AG24" i="1"/>
  <c r="AG25" i="1"/>
  <c r="AG26" i="1"/>
  <c r="AG27" i="1"/>
  <c r="AG28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3" i="1"/>
  <c r="AG219" i="1"/>
  <c r="AG45" i="1"/>
  <c r="AG48" i="1"/>
  <c r="AG49" i="1"/>
  <c r="AG50" i="1"/>
  <c r="AG52" i="1"/>
  <c r="AG53" i="1"/>
  <c r="AG54" i="1"/>
  <c r="AG60" i="1"/>
  <c r="AG61" i="1"/>
  <c r="AG55" i="1"/>
  <c r="AG56" i="1"/>
  <c r="AG63" i="1"/>
  <c r="AG64" i="1"/>
  <c r="AG65" i="1"/>
  <c r="AG66" i="1"/>
  <c r="AG67" i="1"/>
  <c r="AG58" i="1"/>
  <c r="AG57" i="1"/>
  <c r="AG70" i="1"/>
  <c r="AG71" i="1"/>
  <c r="AG72" i="1"/>
  <c r="AG73" i="1"/>
  <c r="AG74" i="1"/>
  <c r="AG75" i="1"/>
  <c r="AG76" i="1"/>
  <c r="AG80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9" i="1"/>
  <c r="AG100" i="1"/>
  <c r="AG101" i="1"/>
  <c r="AG102" i="1"/>
  <c r="AG103" i="1"/>
  <c r="AG106" i="1"/>
  <c r="AG109" i="1"/>
  <c r="AG111" i="1"/>
  <c r="AG112" i="1"/>
  <c r="AG113" i="1"/>
  <c r="AG114" i="1"/>
  <c r="AG115" i="1"/>
  <c r="AG116" i="1"/>
  <c r="AG119" i="1"/>
  <c r="AG120" i="1"/>
  <c r="AG121" i="1"/>
  <c r="AG122" i="1"/>
  <c r="AG123" i="1"/>
  <c r="AG124" i="1"/>
  <c r="AG125" i="1"/>
  <c r="AG127" i="1"/>
  <c r="AG128" i="1"/>
  <c r="AG129" i="1"/>
  <c r="AG131" i="1"/>
  <c r="AG132" i="1"/>
  <c r="AG133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5" i="1"/>
  <c r="AG166" i="1"/>
  <c r="AG167" i="1"/>
  <c r="AG168" i="1"/>
  <c r="AG169" i="1"/>
  <c r="AG170" i="1"/>
  <c r="AG177" i="1"/>
  <c r="AG178" i="1"/>
  <c r="AG179" i="1"/>
  <c r="AG180" i="1"/>
  <c r="AG181" i="1"/>
  <c r="AG172" i="1"/>
  <c r="AG173" i="1"/>
  <c r="AG182" i="1"/>
  <c r="AG183" i="1"/>
  <c r="AG174" i="1"/>
  <c r="AG186" i="1"/>
  <c r="AG202" i="1"/>
  <c r="AG203" i="1"/>
  <c r="AG204" i="1"/>
  <c r="AG189" i="1"/>
  <c r="AG207" i="1"/>
  <c r="AG208" i="1"/>
  <c r="AG209" i="1"/>
  <c r="AG205" i="1"/>
  <c r="AG211" i="1"/>
  <c r="AG212" i="1"/>
  <c r="AG191" i="1"/>
  <c r="AG192" i="1"/>
  <c r="AG193" i="1"/>
  <c r="AG194" i="1"/>
  <c r="AG195" i="1"/>
  <c r="AG196" i="1"/>
  <c r="AG213" i="1"/>
  <c r="AG188" i="1"/>
  <c r="AG198" i="1"/>
  <c r="AG199" i="1"/>
  <c r="AG200" i="1"/>
  <c r="AG220" i="1"/>
  <c r="AG221" i="1"/>
  <c r="AG222" i="1"/>
  <c r="AG223" i="1"/>
  <c r="AG224" i="1"/>
  <c r="AG225" i="1"/>
  <c r="AG226" i="1"/>
  <c r="AG227" i="1"/>
  <c r="AG228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12" i="1"/>
  <c r="AE13" i="1"/>
  <c r="AE15" i="1"/>
  <c r="AE16" i="1"/>
  <c r="AE17" i="1"/>
  <c r="AE19" i="1"/>
  <c r="AE20" i="1"/>
  <c r="AE21" i="1"/>
  <c r="AE23" i="1"/>
  <c r="AE24" i="1"/>
  <c r="AE25" i="1"/>
  <c r="AE26" i="1"/>
  <c r="AE27" i="1"/>
  <c r="AE28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3" i="1"/>
  <c r="AE219" i="1"/>
  <c r="AE45" i="1"/>
  <c r="AE48" i="1"/>
  <c r="AE49" i="1"/>
  <c r="AE50" i="1"/>
  <c r="AE52" i="1"/>
  <c r="AE53" i="1"/>
  <c r="AE54" i="1"/>
  <c r="AE60" i="1"/>
  <c r="AE61" i="1"/>
  <c r="AE55" i="1"/>
  <c r="AE56" i="1"/>
  <c r="AE63" i="1"/>
  <c r="AE64" i="1"/>
  <c r="AE65" i="1"/>
  <c r="AE66" i="1"/>
  <c r="AE67" i="1"/>
  <c r="AE58" i="1"/>
  <c r="AE57" i="1"/>
  <c r="AE70" i="1"/>
  <c r="AE71" i="1"/>
  <c r="AE72" i="1"/>
  <c r="AE73" i="1"/>
  <c r="AE74" i="1"/>
  <c r="AE75" i="1"/>
  <c r="AE76" i="1"/>
  <c r="AE80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9" i="1"/>
  <c r="AE100" i="1"/>
  <c r="AE101" i="1"/>
  <c r="AE102" i="1"/>
  <c r="AE103" i="1"/>
  <c r="AE106" i="1"/>
  <c r="AE109" i="1"/>
  <c r="AE111" i="1"/>
  <c r="AE112" i="1"/>
  <c r="AE113" i="1"/>
  <c r="AE114" i="1"/>
  <c r="AE115" i="1"/>
  <c r="AE116" i="1"/>
  <c r="AE119" i="1"/>
  <c r="AE120" i="1"/>
  <c r="AE121" i="1"/>
  <c r="AE122" i="1"/>
  <c r="AE123" i="1"/>
  <c r="AE124" i="1"/>
  <c r="AE125" i="1"/>
  <c r="AE127" i="1"/>
  <c r="AE128" i="1"/>
  <c r="AE129" i="1"/>
  <c r="AE131" i="1"/>
  <c r="AE132" i="1"/>
  <c r="AE133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5" i="1"/>
  <c r="AE166" i="1"/>
  <c r="AE167" i="1"/>
  <c r="AE168" i="1"/>
  <c r="AE169" i="1"/>
  <c r="AE170" i="1"/>
  <c r="AE177" i="1"/>
  <c r="AE178" i="1"/>
  <c r="AE179" i="1"/>
  <c r="AE180" i="1"/>
  <c r="AE181" i="1"/>
  <c r="AE172" i="1"/>
  <c r="AE173" i="1"/>
  <c r="AE182" i="1"/>
  <c r="AE183" i="1"/>
  <c r="AE174" i="1"/>
  <c r="AE186" i="1"/>
  <c r="AE202" i="1"/>
  <c r="AE203" i="1"/>
  <c r="AE204" i="1"/>
  <c r="AE189" i="1"/>
  <c r="AE207" i="1"/>
  <c r="AE208" i="1"/>
  <c r="AE209" i="1"/>
  <c r="AE205" i="1"/>
  <c r="AE211" i="1"/>
  <c r="AE212" i="1"/>
  <c r="AE191" i="1"/>
  <c r="AE192" i="1"/>
  <c r="AE193" i="1"/>
  <c r="AE194" i="1"/>
  <c r="AE195" i="1"/>
  <c r="AE196" i="1"/>
  <c r="AE213" i="1"/>
  <c r="AE188" i="1"/>
  <c r="AE198" i="1"/>
  <c r="AE199" i="1"/>
  <c r="AE200" i="1"/>
  <c r="AE220" i="1"/>
  <c r="AE221" i="1"/>
  <c r="AE222" i="1"/>
  <c r="AE223" i="1"/>
  <c r="AE224" i="1"/>
  <c r="AE225" i="1"/>
  <c r="AE226" i="1"/>
  <c r="AE227" i="1"/>
  <c r="AE228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C13" i="1"/>
  <c r="AC15" i="1"/>
  <c r="AC16" i="1"/>
  <c r="AC17" i="1"/>
  <c r="AC19" i="1"/>
  <c r="AC20" i="1"/>
  <c r="AC21" i="1"/>
  <c r="AC23" i="1"/>
  <c r="AC24" i="1"/>
  <c r="AC25" i="1"/>
  <c r="AC26" i="1"/>
  <c r="AC27" i="1"/>
  <c r="AC28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3" i="1"/>
  <c r="AC219" i="1"/>
  <c r="AC45" i="1"/>
  <c r="AC48" i="1"/>
  <c r="AC49" i="1"/>
  <c r="AC50" i="1"/>
  <c r="AC52" i="1"/>
  <c r="AC53" i="1"/>
  <c r="AC54" i="1"/>
  <c r="AC60" i="1"/>
  <c r="AC61" i="1"/>
  <c r="AC55" i="1"/>
  <c r="AC56" i="1"/>
  <c r="AC63" i="1"/>
  <c r="AC64" i="1"/>
  <c r="AC65" i="1"/>
  <c r="AC66" i="1"/>
  <c r="AC67" i="1"/>
  <c r="AC58" i="1"/>
  <c r="AC57" i="1"/>
  <c r="AC70" i="1"/>
  <c r="AC71" i="1"/>
  <c r="AC72" i="1"/>
  <c r="AC73" i="1"/>
  <c r="AC74" i="1"/>
  <c r="AC75" i="1"/>
  <c r="AC76" i="1"/>
  <c r="AC80" i="1"/>
  <c r="AC99" i="1"/>
  <c r="AC100" i="1"/>
  <c r="AC101" i="1"/>
  <c r="AC102" i="1"/>
  <c r="AC103" i="1"/>
  <c r="AC106" i="1"/>
  <c r="AC109" i="1"/>
  <c r="AC112" i="1"/>
  <c r="AC113" i="1"/>
  <c r="AC114" i="1"/>
  <c r="AC115" i="1"/>
  <c r="AC116" i="1"/>
  <c r="AC119" i="1"/>
  <c r="AC120" i="1"/>
  <c r="AC121" i="1"/>
  <c r="AC122" i="1"/>
  <c r="AC123" i="1"/>
  <c r="AC124" i="1"/>
  <c r="AC125" i="1"/>
  <c r="AC127" i="1"/>
  <c r="AC128" i="1"/>
  <c r="AC129" i="1"/>
  <c r="AC131" i="1"/>
  <c r="AC132" i="1"/>
  <c r="AC133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5" i="1"/>
  <c r="AC166" i="1"/>
  <c r="AC167" i="1"/>
  <c r="AC168" i="1"/>
  <c r="AC169" i="1"/>
  <c r="AC170" i="1"/>
  <c r="AC177" i="1"/>
  <c r="AC178" i="1"/>
  <c r="AC179" i="1"/>
  <c r="AC180" i="1"/>
  <c r="AC181" i="1"/>
  <c r="AC172" i="1"/>
  <c r="AC173" i="1"/>
  <c r="AC182" i="1"/>
  <c r="AC183" i="1"/>
  <c r="AC174" i="1"/>
  <c r="AC186" i="1"/>
  <c r="AC202" i="1"/>
  <c r="AC203" i="1"/>
  <c r="AC204" i="1"/>
  <c r="AC189" i="1"/>
  <c r="AC207" i="1"/>
  <c r="AC208" i="1"/>
  <c r="AC209" i="1"/>
  <c r="AC205" i="1"/>
  <c r="AC211" i="1"/>
  <c r="AC212" i="1"/>
  <c r="AC191" i="1"/>
  <c r="AC192" i="1"/>
  <c r="AC193" i="1"/>
  <c r="AC194" i="1"/>
  <c r="AC195" i="1"/>
  <c r="AC196" i="1"/>
  <c r="AC213" i="1"/>
  <c r="AC188" i="1"/>
  <c r="AC198" i="1"/>
  <c r="AC199" i="1"/>
  <c r="AC200" i="1"/>
  <c r="AC220" i="1"/>
  <c r="AC221" i="1"/>
  <c r="AC222" i="1"/>
  <c r="AC223" i="1"/>
  <c r="AC224" i="1"/>
  <c r="AC225" i="1"/>
  <c r="AC226" i="1"/>
  <c r="AC227" i="1"/>
  <c r="AC228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A13" i="1"/>
  <c r="Y13" i="1"/>
  <c r="Y15" i="1"/>
  <c r="Y16" i="1"/>
  <c r="Y17" i="1"/>
  <c r="Y19" i="1"/>
  <c r="Y20" i="1"/>
  <c r="Y21" i="1"/>
  <c r="Y23" i="1"/>
  <c r="Y24" i="1"/>
  <c r="Y25" i="1"/>
  <c r="Y26" i="1"/>
  <c r="Y27" i="1"/>
  <c r="Y28" i="1"/>
  <c r="Y30" i="1"/>
  <c r="Y31" i="1"/>
  <c r="Y32" i="1"/>
  <c r="Y33" i="1"/>
  <c r="Y34" i="1"/>
  <c r="Y35" i="1"/>
  <c r="Y36" i="1"/>
  <c r="Y37" i="1"/>
  <c r="Y38" i="1"/>
  <c r="Y39" i="1"/>
  <c r="Y40" i="1"/>
  <c r="Y41" i="1"/>
  <c r="Y43" i="1"/>
  <c r="Y219" i="1"/>
  <c r="Y45" i="1"/>
  <c r="Y48" i="1"/>
  <c r="Y49" i="1"/>
  <c r="Y50" i="1"/>
  <c r="Y52" i="1"/>
  <c r="Y53" i="1"/>
  <c r="Y54" i="1"/>
  <c r="Y60" i="1"/>
  <c r="Y61" i="1"/>
  <c r="Y55" i="1"/>
  <c r="Y56" i="1"/>
  <c r="Y63" i="1"/>
  <c r="Y64" i="1"/>
  <c r="Y65" i="1"/>
  <c r="Y66" i="1"/>
  <c r="Y67" i="1"/>
  <c r="Y58" i="1"/>
  <c r="Y57" i="1"/>
  <c r="Y70" i="1"/>
  <c r="Y71" i="1"/>
  <c r="Y72" i="1"/>
  <c r="Y73" i="1"/>
  <c r="Y74" i="1"/>
  <c r="Y75" i="1"/>
  <c r="Y76" i="1"/>
  <c r="Y80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9" i="1"/>
  <c r="Y100" i="1"/>
  <c r="Y101" i="1"/>
  <c r="Y102" i="1"/>
  <c r="Y103" i="1"/>
  <c r="Y106" i="1"/>
  <c r="Y109" i="1"/>
  <c r="Y111" i="1"/>
  <c r="Y112" i="1"/>
  <c r="Y113" i="1"/>
  <c r="Y114" i="1"/>
  <c r="Y115" i="1"/>
  <c r="Y116" i="1"/>
  <c r="Y119" i="1"/>
  <c r="Y120" i="1"/>
  <c r="Y121" i="1"/>
  <c r="Y122" i="1"/>
  <c r="Y123" i="1"/>
  <c r="Y124" i="1"/>
  <c r="Y125" i="1"/>
  <c r="Y127" i="1"/>
  <c r="Y128" i="1"/>
  <c r="Y129" i="1"/>
  <c r="Y131" i="1"/>
  <c r="Y132" i="1"/>
  <c r="Y133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5" i="1"/>
  <c r="Y166" i="1"/>
  <c r="Y167" i="1"/>
  <c r="Y168" i="1"/>
  <c r="Y169" i="1"/>
  <c r="Y170" i="1"/>
  <c r="Y177" i="1"/>
  <c r="Y178" i="1"/>
  <c r="Y179" i="1"/>
  <c r="Y180" i="1"/>
  <c r="Y181" i="1"/>
  <c r="Y172" i="1"/>
  <c r="Y173" i="1"/>
  <c r="Y182" i="1"/>
  <c r="Y183" i="1"/>
  <c r="Y174" i="1"/>
  <c r="Y186" i="1"/>
  <c r="Y202" i="1"/>
  <c r="Y203" i="1"/>
  <c r="Y204" i="1"/>
  <c r="Y189" i="1"/>
  <c r="Y207" i="1"/>
  <c r="Y208" i="1"/>
  <c r="Y209" i="1"/>
  <c r="Y205" i="1"/>
  <c r="Y211" i="1"/>
  <c r="Y212" i="1"/>
  <c r="Y191" i="1"/>
  <c r="Y192" i="1"/>
  <c r="Y193" i="1"/>
  <c r="Y194" i="1"/>
  <c r="Y195" i="1"/>
  <c r="Y196" i="1"/>
  <c r="Y213" i="1"/>
  <c r="Y188" i="1"/>
  <c r="Y198" i="1"/>
  <c r="Y199" i="1"/>
  <c r="Y200" i="1"/>
  <c r="Y220" i="1"/>
  <c r="Y221" i="1"/>
  <c r="Y222" i="1"/>
  <c r="Y223" i="1"/>
  <c r="Y224" i="1"/>
  <c r="Y225" i="1"/>
  <c r="Y226" i="1"/>
  <c r="Y227" i="1"/>
  <c r="Y228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W13" i="1"/>
  <c r="U13" i="1"/>
  <c r="U15" i="1"/>
  <c r="U16" i="1"/>
  <c r="U17" i="1"/>
  <c r="U19" i="1"/>
  <c r="U20" i="1"/>
  <c r="U21" i="1"/>
  <c r="U23" i="1"/>
  <c r="U24" i="1"/>
  <c r="U25" i="1"/>
  <c r="U26" i="1"/>
  <c r="U27" i="1"/>
  <c r="U28" i="1"/>
  <c r="U30" i="1"/>
  <c r="U31" i="1"/>
  <c r="U32" i="1"/>
  <c r="U33" i="1"/>
  <c r="U34" i="1"/>
  <c r="U35" i="1"/>
  <c r="U36" i="1"/>
  <c r="U37" i="1"/>
  <c r="U38" i="1"/>
  <c r="U39" i="1"/>
  <c r="U40" i="1"/>
  <c r="U41" i="1"/>
  <c r="U43" i="1"/>
  <c r="U219" i="1"/>
  <c r="U45" i="1"/>
  <c r="U48" i="1"/>
  <c r="U49" i="1"/>
  <c r="U50" i="1"/>
  <c r="U52" i="1"/>
  <c r="U53" i="1"/>
  <c r="U54" i="1"/>
  <c r="U60" i="1"/>
  <c r="U61" i="1"/>
  <c r="U55" i="1"/>
  <c r="U56" i="1"/>
  <c r="U63" i="1"/>
  <c r="U64" i="1"/>
  <c r="U65" i="1"/>
  <c r="U66" i="1"/>
  <c r="U67" i="1"/>
  <c r="U58" i="1"/>
  <c r="U57" i="1"/>
  <c r="U70" i="1"/>
  <c r="U71" i="1"/>
  <c r="U72" i="1"/>
  <c r="U73" i="1"/>
  <c r="U74" i="1"/>
  <c r="U75" i="1"/>
  <c r="U76" i="1"/>
  <c r="U80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9" i="1"/>
  <c r="U100" i="1"/>
  <c r="U101" i="1"/>
  <c r="U102" i="1"/>
  <c r="U103" i="1"/>
  <c r="U106" i="1"/>
  <c r="U109" i="1"/>
  <c r="U111" i="1"/>
  <c r="U112" i="1"/>
  <c r="U113" i="1"/>
  <c r="U114" i="1"/>
  <c r="U115" i="1"/>
  <c r="U116" i="1"/>
  <c r="U119" i="1"/>
  <c r="U120" i="1"/>
  <c r="U121" i="1"/>
  <c r="U122" i="1"/>
  <c r="U123" i="1"/>
  <c r="U124" i="1"/>
  <c r="U125" i="1"/>
  <c r="U127" i="1"/>
  <c r="U128" i="1"/>
  <c r="U129" i="1"/>
  <c r="U131" i="1"/>
  <c r="U132" i="1"/>
  <c r="U133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5" i="1"/>
  <c r="U166" i="1"/>
  <c r="U167" i="1"/>
  <c r="U168" i="1"/>
  <c r="U169" i="1"/>
  <c r="U170" i="1"/>
  <c r="U177" i="1"/>
  <c r="U178" i="1"/>
  <c r="U179" i="1"/>
  <c r="U180" i="1"/>
  <c r="U181" i="1"/>
  <c r="U172" i="1"/>
  <c r="U173" i="1"/>
  <c r="U182" i="1"/>
  <c r="U183" i="1"/>
  <c r="U174" i="1"/>
  <c r="U186" i="1"/>
  <c r="U202" i="1"/>
  <c r="U203" i="1"/>
  <c r="U204" i="1"/>
  <c r="U189" i="1"/>
  <c r="U207" i="1"/>
  <c r="U208" i="1"/>
  <c r="U209" i="1"/>
  <c r="U205" i="1"/>
  <c r="U211" i="1"/>
  <c r="U212" i="1"/>
  <c r="U191" i="1"/>
  <c r="U192" i="1"/>
  <c r="U193" i="1"/>
  <c r="U194" i="1"/>
  <c r="U195" i="1"/>
  <c r="U196" i="1"/>
  <c r="U213" i="1"/>
  <c r="U188" i="1"/>
  <c r="U198" i="1"/>
  <c r="U199" i="1"/>
  <c r="U200" i="1"/>
  <c r="U220" i="1"/>
  <c r="U221" i="1"/>
  <c r="U222" i="1"/>
  <c r="U223" i="1"/>
  <c r="U224" i="1"/>
  <c r="U225" i="1"/>
  <c r="U226" i="1"/>
  <c r="U227" i="1"/>
  <c r="U228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Q13" i="1"/>
  <c r="Q15" i="1"/>
  <c r="Q16" i="1"/>
  <c r="Q17" i="1"/>
  <c r="Q19" i="1"/>
  <c r="Q20" i="1"/>
  <c r="Q21" i="1"/>
  <c r="Q23" i="1"/>
  <c r="Q24" i="1"/>
  <c r="Q25" i="1"/>
  <c r="Q26" i="1"/>
  <c r="Q27" i="1"/>
  <c r="Q28" i="1"/>
  <c r="Q30" i="1"/>
  <c r="Q31" i="1"/>
  <c r="Q32" i="1"/>
  <c r="Q33" i="1"/>
  <c r="Q34" i="1"/>
  <c r="Q35" i="1"/>
  <c r="Q36" i="1"/>
  <c r="Q37" i="1"/>
  <c r="Q38" i="1"/>
  <c r="Q39" i="1"/>
  <c r="Q40" i="1"/>
  <c r="Q41" i="1"/>
  <c r="Q43" i="1"/>
  <c r="Q219" i="1"/>
  <c r="Q45" i="1"/>
  <c r="Q48" i="1"/>
  <c r="Q49" i="1"/>
  <c r="Q50" i="1"/>
  <c r="Q52" i="1"/>
  <c r="Q53" i="1"/>
  <c r="Q54" i="1"/>
  <c r="Q60" i="1"/>
  <c r="Q61" i="1"/>
  <c r="Q55" i="1"/>
  <c r="Q56" i="1"/>
  <c r="Q63" i="1"/>
  <c r="Q64" i="1"/>
  <c r="Q65" i="1"/>
  <c r="Q66" i="1"/>
  <c r="Q67" i="1"/>
  <c r="Q58" i="1"/>
  <c r="Q57" i="1"/>
  <c r="Q70" i="1"/>
  <c r="Q71" i="1"/>
  <c r="Q72" i="1"/>
  <c r="Q73" i="1"/>
  <c r="Q74" i="1"/>
  <c r="Q75" i="1"/>
  <c r="Q76" i="1"/>
  <c r="Q80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9" i="1"/>
  <c r="Q100" i="1"/>
  <c r="Q101" i="1"/>
  <c r="Q102" i="1"/>
  <c r="Q103" i="1"/>
  <c r="Q106" i="1"/>
  <c r="Q109" i="1"/>
  <c r="Q112" i="1"/>
  <c r="Q113" i="1"/>
  <c r="Q114" i="1"/>
  <c r="Q115" i="1"/>
  <c r="Q116" i="1"/>
  <c r="Q119" i="1"/>
  <c r="Q120" i="1"/>
  <c r="Q121" i="1"/>
  <c r="Q122" i="1"/>
  <c r="Q123" i="1"/>
  <c r="Q124" i="1"/>
  <c r="Q125" i="1"/>
  <c r="Q127" i="1"/>
  <c r="Q128" i="1"/>
  <c r="Q129" i="1"/>
  <c r="Q131" i="1"/>
  <c r="Q132" i="1"/>
  <c r="Q133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5" i="1"/>
  <c r="Q166" i="1"/>
  <c r="Q167" i="1"/>
  <c r="Q168" i="1"/>
  <c r="Q169" i="1"/>
  <c r="Q170" i="1"/>
  <c r="Q177" i="1"/>
  <c r="Q178" i="1"/>
  <c r="Q179" i="1"/>
  <c r="Q180" i="1"/>
  <c r="Q181" i="1"/>
  <c r="Q172" i="1"/>
  <c r="Q173" i="1"/>
  <c r="Q182" i="1"/>
  <c r="Q183" i="1"/>
  <c r="Q174" i="1"/>
  <c r="Q186" i="1"/>
  <c r="Q202" i="1"/>
  <c r="Q203" i="1"/>
  <c r="Q204" i="1"/>
  <c r="Q189" i="1"/>
  <c r="Q207" i="1"/>
  <c r="Q208" i="1"/>
  <c r="Q209" i="1"/>
  <c r="Q205" i="1"/>
  <c r="Q211" i="1"/>
  <c r="Q212" i="1"/>
  <c r="Q191" i="1"/>
  <c r="Q192" i="1"/>
  <c r="Q193" i="1"/>
  <c r="Q194" i="1"/>
  <c r="Q195" i="1"/>
  <c r="Q196" i="1"/>
  <c r="Q213" i="1"/>
  <c r="Q188" i="1"/>
  <c r="Q198" i="1"/>
  <c r="Q199" i="1"/>
  <c r="Q200" i="1"/>
  <c r="Q220" i="1"/>
  <c r="Q221" i="1"/>
  <c r="Q222" i="1"/>
  <c r="Q223" i="1"/>
  <c r="Q224" i="1"/>
  <c r="Q225" i="1"/>
  <c r="Q226" i="1"/>
  <c r="Q227" i="1"/>
  <c r="Q228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O13" i="1"/>
  <c r="O15" i="1"/>
  <c r="O16" i="1"/>
  <c r="O17" i="1"/>
  <c r="O19" i="1"/>
  <c r="O20" i="1"/>
  <c r="O21" i="1"/>
  <c r="O23" i="1"/>
  <c r="O24" i="1"/>
  <c r="O25" i="1"/>
  <c r="O26" i="1"/>
  <c r="O27" i="1"/>
  <c r="O28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219" i="1"/>
  <c r="O45" i="1"/>
  <c r="O48" i="1"/>
  <c r="O49" i="1"/>
  <c r="O50" i="1"/>
  <c r="O52" i="1"/>
  <c r="O53" i="1"/>
  <c r="O54" i="1"/>
  <c r="O60" i="1"/>
  <c r="O61" i="1"/>
  <c r="O55" i="1"/>
  <c r="O56" i="1"/>
  <c r="O63" i="1"/>
  <c r="O64" i="1"/>
  <c r="O65" i="1"/>
  <c r="O66" i="1"/>
  <c r="O67" i="1"/>
  <c r="O58" i="1"/>
  <c r="O57" i="1"/>
  <c r="O70" i="1"/>
  <c r="O71" i="1"/>
  <c r="O72" i="1"/>
  <c r="O73" i="1"/>
  <c r="O74" i="1"/>
  <c r="O75" i="1"/>
  <c r="O76" i="1"/>
  <c r="O80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9" i="1"/>
  <c r="O100" i="1"/>
  <c r="O101" i="1"/>
  <c r="O102" i="1"/>
  <c r="O103" i="1"/>
  <c r="O109" i="1"/>
  <c r="O111" i="1"/>
  <c r="O112" i="1"/>
  <c r="O113" i="1"/>
  <c r="O114" i="1"/>
  <c r="O115" i="1"/>
  <c r="O116" i="1"/>
  <c r="O119" i="1"/>
  <c r="O120" i="1"/>
  <c r="O121" i="1"/>
  <c r="O122" i="1"/>
  <c r="O123" i="1"/>
  <c r="O124" i="1"/>
  <c r="O125" i="1"/>
  <c r="O127" i="1"/>
  <c r="O128" i="1"/>
  <c r="O129" i="1"/>
  <c r="O131" i="1"/>
  <c r="O132" i="1"/>
  <c r="O133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5" i="1"/>
  <c r="O166" i="1"/>
  <c r="O167" i="1"/>
  <c r="O168" i="1"/>
  <c r="O169" i="1"/>
  <c r="O170" i="1"/>
  <c r="O177" i="1"/>
  <c r="O178" i="1"/>
  <c r="O179" i="1"/>
  <c r="O180" i="1"/>
  <c r="O181" i="1"/>
  <c r="O172" i="1"/>
  <c r="O173" i="1"/>
  <c r="O182" i="1"/>
  <c r="O183" i="1"/>
  <c r="O174" i="1"/>
  <c r="O186" i="1"/>
  <c r="O202" i="1"/>
  <c r="O203" i="1"/>
  <c r="O204" i="1"/>
  <c r="O189" i="1"/>
  <c r="O207" i="1"/>
  <c r="O208" i="1"/>
  <c r="O209" i="1"/>
  <c r="O205" i="1"/>
  <c r="O211" i="1"/>
  <c r="O212" i="1"/>
  <c r="O191" i="1"/>
  <c r="O192" i="1"/>
  <c r="O193" i="1"/>
  <c r="O194" i="1"/>
  <c r="O195" i="1"/>
  <c r="O196" i="1"/>
  <c r="O213" i="1"/>
  <c r="O188" i="1"/>
  <c r="O198" i="1"/>
  <c r="O199" i="1"/>
  <c r="O200" i="1"/>
  <c r="O220" i="1"/>
  <c r="O221" i="1"/>
  <c r="O222" i="1"/>
  <c r="O223" i="1"/>
  <c r="O224" i="1"/>
  <c r="O225" i="1"/>
  <c r="O226" i="1"/>
  <c r="O227" i="1"/>
  <c r="O228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M13" i="1"/>
  <c r="M15" i="1"/>
  <c r="M16" i="1"/>
  <c r="M17" i="1"/>
  <c r="M19" i="1"/>
  <c r="M20" i="1"/>
  <c r="M21" i="1"/>
  <c r="M23" i="1"/>
  <c r="M24" i="1"/>
  <c r="M25" i="1"/>
  <c r="M26" i="1"/>
  <c r="M27" i="1"/>
  <c r="M28" i="1"/>
  <c r="M30" i="1"/>
  <c r="M31" i="1"/>
  <c r="M32" i="1"/>
  <c r="M33" i="1"/>
  <c r="M34" i="1"/>
  <c r="M35" i="1"/>
  <c r="M36" i="1"/>
  <c r="M37" i="1"/>
  <c r="M38" i="1"/>
  <c r="M39" i="1"/>
  <c r="M40" i="1"/>
  <c r="M41" i="1"/>
  <c r="M43" i="1"/>
  <c r="M219" i="1"/>
  <c r="M45" i="1"/>
  <c r="M48" i="1"/>
  <c r="M49" i="1"/>
  <c r="M50" i="1"/>
  <c r="M52" i="1"/>
  <c r="M53" i="1"/>
  <c r="M54" i="1"/>
  <c r="M60" i="1"/>
  <c r="M61" i="1"/>
  <c r="M55" i="1"/>
  <c r="M56" i="1"/>
  <c r="M63" i="1"/>
  <c r="M64" i="1"/>
  <c r="M65" i="1"/>
  <c r="M66" i="1"/>
  <c r="M67" i="1"/>
  <c r="M58" i="1"/>
  <c r="M57" i="1"/>
  <c r="M70" i="1"/>
  <c r="M71" i="1"/>
  <c r="M72" i="1"/>
  <c r="M73" i="1"/>
  <c r="M74" i="1"/>
  <c r="M75" i="1"/>
  <c r="M76" i="1"/>
  <c r="M80" i="1"/>
  <c r="M86" i="1"/>
  <c r="M87" i="1"/>
  <c r="M88" i="1"/>
  <c r="M89" i="1"/>
  <c r="M90" i="1"/>
  <c r="M91" i="1"/>
  <c r="M92" i="1"/>
  <c r="M93" i="1"/>
  <c r="M94" i="1"/>
  <c r="M95" i="1"/>
  <c r="M96" i="1"/>
  <c r="M97" i="1"/>
  <c r="M99" i="1"/>
  <c r="M100" i="1"/>
  <c r="M101" i="1"/>
  <c r="M102" i="1"/>
  <c r="M103" i="1"/>
  <c r="M106" i="1"/>
  <c r="M109" i="1"/>
  <c r="M111" i="1"/>
  <c r="M112" i="1"/>
  <c r="M113" i="1"/>
  <c r="M114" i="1"/>
  <c r="M115" i="1"/>
  <c r="M116" i="1"/>
  <c r="M119" i="1"/>
  <c r="M120" i="1"/>
  <c r="M121" i="1"/>
  <c r="M122" i="1"/>
  <c r="M123" i="1"/>
  <c r="M124" i="1"/>
  <c r="M125" i="1"/>
  <c r="M127" i="1"/>
  <c r="M128" i="1"/>
  <c r="M129" i="1"/>
  <c r="M131" i="1"/>
  <c r="M132" i="1"/>
  <c r="M133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5" i="1"/>
  <c r="M166" i="1"/>
  <c r="M167" i="1"/>
  <c r="M168" i="1"/>
  <c r="M169" i="1"/>
  <c r="M170" i="1"/>
  <c r="M177" i="1"/>
  <c r="M178" i="1"/>
  <c r="M179" i="1"/>
  <c r="M180" i="1"/>
  <c r="M181" i="1"/>
  <c r="M172" i="1"/>
  <c r="M173" i="1"/>
  <c r="M182" i="1"/>
  <c r="M183" i="1"/>
  <c r="M174" i="1"/>
  <c r="M186" i="1"/>
  <c r="M202" i="1"/>
  <c r="M203" i="1"/>
  <c r="M204" i="1"/>
  <c r="M189" i="1"/>
  <c r="M207" i="1"/>
  <c r="M208" i="1"/>
  <c r="M209" i="1"/>
  <c r="M205" i="1"/>
  <c r="M211" i="1"/>
  <c r="M212" i="1"/>
  <c r="M191" i="1"/>
  <c r="M192" i="1"/>
  <c r="M193" i="1"/>
  <c r="M194" i="1"/>
  <c r="M195" i="1"/>
  <c r="M196" i="1"/>
  <c r="M213" i="1"/>
  <c r="M188" i="1"/>
  <c r="M198" i="1"/>
  <c r="M199" i="1"/>
  <c r="M200" i="1"/>
  <c r="M220" i="1"/>
  <c r="M221" i="1"/>
  <c r="M222" i="1"/>
  <c r="M223" i="1"/>
  <c r="M224" i="1"/>
  <c r="M225" i="1"/>
  <c r="M226" i="1"/>
  <c r="M227" i="1"/>
  <c r="M228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K13" i="1"/>
  <c r="K15" i="1"/>
  <c r="K16" i="1"/>
  <c r="K17" i="1"/>
  <c r="K19" i="1"/>
  <c r="K20" i="1"/>
  <c r="K21" i="1"/>
  <c r="K23" i="1"/>
  <c r="K24" i="1"/>
  <c r="K25" i="1"/>
  <c r="K26" i="1"/>
  <c r="K27" i="1"/>
  <c r="K28" i="1"/>
  <c r="K30" i="1"/>
  <c r="K31" i="1"/>
  <c r="K32" i="1"/>
  <c r="K33" i="1"/>
  <c r="K34" i="1"/>
  <c r="K35" i="1"/>
  <c r="K36" i="1"/>
  <c r="K37" i="1"/>
  <c r="K38" i="1"/>
  <c r="K39" i="1"/>
  <c r="K40" i="1"/>
  <c r="K41" i="1"/>
  <c r="K43" i="1"/>
  <c r="K219" i="1"/>
  <c r="K45" i="1"/>
  <c r="K48" i="1"/>
  <c r="K49" i="1"/>
  <c r="K50" i="1"/>
  <c r="K52" i="1"/>
  <c r="K53" i="1"/>
  <c r="K54" i="1"/>
  <c r="K60" i="1"/>
  <c r="K61" i="1"/>
  <c r="K55" i="1"/>
  <c r="K56" i="1"/>
  <c r="K63" i="1"/>
  <c r="K64" i="1"/>
  <c r="K65" i="1"/>
  <c r="K66" i="1"/>
  <c r="K67" i="1"/>
  <c r="K58" i="1"/>
  <c r="K57" i="1"/>
  <c r="K70" i="1"/>
  <c r="K71" i="1"/>
  <c r="K72" i="1"/>
  <c r="K73" i="1"/>
  <c r="K74" i="1"/>
  <c r="K75" i="1"/>
  <c r="K76" i="1"/>
  <c r="K80" i="1"/>
  <c r="K86" i="1"/>
  <c r="K87" i="1"/>
  <c r="K88" i="1"/>
  <c r="K89" i="1"/>
  <c r="K90" i="1"/>
  <c r="K91" i="1"/>
  <c r="K92" i="1"/>
  <c r="K93" i="1"/>
  <c r="K94" i="1"/>
  <c r="K95" i="1"/>
  <c r="K96" i="1"/>
  <c r="K97" i="1"/>
  <c r="K99" i="1"/>
  <c r="K100" i="1"/>
  <c r="K101" i="1"/>
  <c r="K102" i="1"/>
  <c r="K103" i="1"/>
  <c r="K106" i="1"/>
  <c r="K109" i="1"/>
  <c r="K111" i="1"/>
  <c r="K112" i="1"/>
  <c r="K113" i="1"/>
  <c r="K114" i="1"/>
  <c r="K115" i="1"/>
  <c r="K116" i="1"/>
  <c r="K119" i="1"/>
  <c r="K120" i="1"/>
  <c r="K121" i="1"/>
  <c r="K122" i="1"/>
  <c r="K123" i="1"/>
  <c r="K124" i="1"/>
  <c r="K125" i="1"/>
  <c r="K127" i="1"/>
  <c r="K128" i="1"/>
  <c r="K129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5" i="1"/>
  <c r="K166" i="1"/>
  <c r="K167" i="1"/>
  <c r="K168" i="1"/>
  <c r="K169" i="1"/>
  <c r="K170" i="1"/>
  <c r="K177" i="1"/>
  <c r="K178" i="1"/>
  <c r="K179" i="1"/>
  <c r="K180" i="1"/>
  <c r="K181" i="1"/>
  <c r="K172" i="1"/>
  <c r="K173" i="1"/>
  <c r="K182" i="1"/>
  <c r="K183" i="1"/>
  <c r="K174" i="1"/>
  <c r="K186" i="1"/>
  <c r="K202" i="1"/>
  <c r="K203" i="1"/>
  <c r="K204" i="1"/>
  <c r="K189" i="1"/>
  <c r="K207" i="1"/>
  <c r="K208" i="1"/>
  <c r="K209" i="1"/>
  <c r="K205" i="1"/>
  <c r="K211" i="1"/>
  <c r="K212" i="1"/>
  <c r="K191" i="1"/>
  <c r="K192" i="1"/>
  <c r="K193" i="1"/>
  <c r="K194" i="1"/>
  <c r="K195" i="1"/>
  <c r="K196" i="1"/>
  <c r="K213" i="1"/>
  <c r="K188" i="1"/>
  <c r="K198" i="1"/>
  <c r="K199" i="1"/>
  <c r="K200" i="1"/>
  <c r="K220" i="1"/>
  <c r="K221" i="1"/>
  <c r="K222" i="1"/>
  <c r="K223" i="1"/>
  <c r="K224" i="1"/>
  <c r="K225" i="1"/>
  <c r="K226" i="1"/>
  <c r="K227" i="1"/>
  <c r="K228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I13" i="1"/>
  <c r="I15" i="1"/>
  <c r="I16" i="1"/>
  <c r="I17" i="1"/>
  <c r="I19" i="1"/>
  <c r="I20" i="1"/>
  <c r="I21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219" i="1"/>
  <c r="I45" i="1"/>
  <c r="I48" i="1"/>
  <c r="I49" i="1"/>
  <c r="I50" i="1"/>
  <c r="I52" i="1"/>
  <c r="I53" i="1"/>
  <c r="I54" i="1"/>
  <c r="I60" i="1"/>
  <c r="I61" i="1"/>
  <c r="I55" i="1"/>
  <c r="I56" i="1"/>
  <c r="I63" i="1"/>
  <c r="I64" i="1"/>
  <c r="I65" i="1"/>
  <c r="I66" i="1"/>
  <c r="I67" i="1"/>
  <c r="I58" i="1"/>
  <c r="I57" i="1"/>
  <c r="I70" i="1"/>
  <c r="I71" i="1"/>
  <c r="I72" i="1"/>
  <c r="I73" i="1"/>
  <c r="I74" i="1"/>
  <c r="I75" i="1"/>
  <c r="I76" i="1"/>
  <c r="I80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9" i="1"/>
  <c r="I100" i="1"/>
  <c r="I101" i="1"/>
  <c r="I102" i="1"/>
  <c r="I103" i="1"/>
  <c r="I106" i="1"/>
  <c r="I109" i="1"/>
  <c r="I111" i="1"/>
  <c r="I112" i="1"/>
  <c r="I113" i="1"/>
  <c r="I114" i="1"/>
  <c r="I115" i="1"/>
  <c r="I116" i="1"/>
  <c r="I119" i="1"/>
  <c r="I120" i="1"/>
  <c r="I121" i="1"/>
  <c r="I122" i="1"/>
  <c r="I123" i="1"/>
  <c r="I124" i="1"/>
  <c r="I125" i="1"/>
  <c r="I127" i="1"/>
  <c r="I128" i="1"/>
  <c r="I129" i="1"/>
  <c r="I131" i="1"/>
  <c r="I132" i="1"/>
  <c r="I133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5" i="1"/>
  <c r="I166" i="1"/>
  <c r="I167" i="1"/>
  <c r="I168" i="1"/>
  <c r="I169" i="1"/>
  <c r="I170" i="1"/>
  <c r="I177" i="1"/>
  <c r="I178" i="1"/>
  <c r="I179" i="1"/>
  <c r="I180" i="1"/>
  <c r="I181" i="1"/>
  <c r="I172" i="1"/>
  <c r="I173" i="1"/>
  <c r="I182" i="1"/>
  <c r="I183" i="1"/>
  <c r="I174" i="1"/>
  <c r="I186" i="1"/>
  <c r="I202" i="1"/>
  <c r="I203" i="1"/>
  <c r="I204" i="1"/>
  <c r="I189" i="1"/>
  <c r="I207" i="1"/>
  <c r="I208" i="1"/>
  <c r="I209" i="1"/>
  <c r="I205" i="1"/>
  <c r="I211" i="1"/>
  <c r="I212" i="1"/>
  <c r="I191" i="1"/>
  <c r="I192" i="1"/>
  <c r="I193" i="1"/>
  <c r="I194" i="1"/>
  <c r="I195" i="1"/>
  <c r="I196" i="1"/>
  <c r="I213" i="1"/>
  <c r="I188" i="1"/>
  <c r="I198" i="1"/>
  <c r="I199" i="1"/>
  <c r="I200" i="1"/>
  <c r="I220" i="1"/>
  <c r="I221" i="1"/>
  <c r="I222" i="1"/>
  <c r="I223" i="1"/>
  <c r="I224" i="1"/>
  <c r="I225" i="1"/>
  <c r="I226" i="1"/>
  <c r="I227" i="1"/>
  <c r="I228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8" i="1" l="1"/>
  <c r="AG258" i="1"/>
  <c r="AR58" i="1"/>
  <c r="AR61" i="1"/>
  <c r="AQ252" i="1"/>
  <c r="AR76" i="1"/>
  <c r="AQ74" i="1"/>
  <c r="AR72" i="1"/>
  <c r="AQ70" i="1"/>
  <c r="AQ66" i="1"/>
  <c r="AQ64" i="1"/>
  <c r="AQ56" i="1"/>
  <c r="AQ54" i="1"/>
  <c r="AR52" i="1"/>
  <c r="AQ49" i="1"/>
  <c r="AR45" i="1"/>
  <c r="AR43" i="1"/>
  <c r="AR40" i="1"/>
  <c r="AQ38" i="1"/>
  <c r="AR36" i="1"/>
  <c r="AQ34" i="1"/>
  <c r="AR32" i="1"/>
  <c r="AQ30" i="1"/>
  <c r="AQ27" i="1"/>
  <c r="AQ25" i="1"/>
  <c r="AQ23" i="1"/>
  <c r="AQ20" i="1"/>
  <c r="AQ15" i="1"/>
  <c r="AQ17" i="1"/>
  <c r="AR250" i="1"/>
  <c r="AR248" i="1"/>
  <c r="AR246" i="1"/>
  <c r="AR244" i="1"/>
  <c r="AR242" i="1"/>
  <c r="AR240" i="1"/>
  <c r="AR238" i="1"/>
  <c r="AR236" i="1"/>
  <c r="AR234" i="1"/>
  <c r="AR232" i="1"/>
  <c r="AQ228" i="1"/>
  <c r="AR226" i="1"/>
  <c r="AQ224" i="1"/>
  <c r="AR222" i="1"/>
  <c r="AQ220" i="1"/>
  <c r="AQ200" i="1"/>
  <c r="AR198" i="1"/>
  <c r="AR213" i="1"/>
  <c r="AR195" i="1"/>
  <c r="AR193" i="1"/>
  <c r="AR191" i="1"/>
  <c r="AR211" i="1"/>
  <c r="AR209" i="1"/>
  <c r="AR207" i="1"/>
  <c r="AQ204" i="1"/>
  <c r="AR202" i="1"/>
  <c r="AR174" i="1"/>
  <c r="AR182" i="1"/>
  <c r="AQ172" i="1"/>
  <c r="AQ180" i="1"/>
  <c r="AR178" i="1"/>
  <c r="AR170" i="1"/>
  <c r="AQ168" i="1"/>
  <c r="AR166" i="1"/>
  <c r="AR162" i="1"/>
  <c r="AQ160" i="1"/>
  <c r="AR158" i="1"/>
  <c r="AQ156" i="1"/>
  <c r="AR154" i="1"/>
  <c r="AQ152" i="1"/>
  <c r="AR150" i="1"/>
  <c r="AQ148" i="1"/>
  <c r="AR146" i="1"/>
  <c r="AQ144" i="1"/>
  <c r="AR142" i="1"/>
  <c r="AQ140" i="1"/>
  <c r="AR138" i="1"/>
  <c r="AQ136" i="1"/>
  <c r="AR133" i="1"/>
  <c r="AR131" i="1"/>
  <c r="AQ128" i="1"/>
  <c r="AR125" i="1"/>
  <c r="AR123" i="1"/>
  <c r="AR121" i="1"/>
  <c r="AR119" i="1"/>
  <c r="AR115" i="1"/>
  <c r="AR113" i="1"/>
  <c r="AR111" i="1"/>
  <c r="AR106" i="1"/>
  <c r="AR102" i="1"/>
  <c r="AR100" i="1"/>
  <c r="AR97" i="1"/>
  <c r="AQ95" i="1"/>
  <c r="AR93" i="1"/>
  <c r="AQ91" i="1"/>
  <c r="AR89" i="1"/>
  <c r="AQ87" i="1"/>
  <c r="AR85" i="1"/>
  <c r="AQ84" i="1"/>
  <c r="AR84" i="1"/>
  <c r="AQ253" i="1"/>
  <c r="AQ251" i="1"/>
  <c r="AQ249" i="1"/>
  <c r="AQ247" i="1"/>
  <c r="AQ245" i="1"/>
  <c r="AQ243" i="1"/>
  <c r="AQ241" i="1"/>
  <c r="AQ239" i="1"/>
  <c r="AQ237" i="1"/>
  <c r="AQ235" i="1"/>
  <c r="AQ233" i="1"/>
  <c r="AQ231" i="1"/>
  <c r="AQ227" i="1"/>
  <c r="AR225" i="1"/>
  <c r="AQ223" i="1"/>
  <c r="AR221" i="1"/>
  <c r="AR199" i="1"/>
  <c r="AQ188" i="1"/>
  <c r="AQ196" i="1"/>
  <c r="AR194" i="1"/>
  <c r="AQ192" i="1"/>
  <c r="AQ212" i="1"/>
  <c r="AR205" i="1"/>
  <c r="AQ208" i="1"/>
  <c r="AR189" i="1"/>
  <c r="AR203" i="1"/>
  <c r="AR186" i="1"/>
  <c r="AR183" i="1"/>
  <c r="AR173" i="1"/>
  <c r="AR181" i="1"/>
  <c r="AR179" i="1"/>
  <c r="AR177" i="1"/>
  <c r="AR169" i="1"/>
  <c r="AR167" i="1"/>
  <c r="AR165" i="1"/>
  <c r="AR161" i="1"/>
  <c r="AR159" i="1"/>
  <c r="AR157" i="1"/>
  <c r="AR155" i="1"/>
  <c r="AR153" i="1"/>
  <c r="AR151" i="1"/>
  <c r="AR149" i="1"/>
  <c r="AR147" i="1"/>
  <c r="AR145" i="1"/>
  <c r="AR143" i="1"/>
  <c r="AR141" i="1"/>
  <c r="AR139" i="1"/>
  <c r="AR137" i="1"/>
  <c r="AR135" i="1"/>
  <c r="AQ132" i="1"/>
  <c r="AR129" i="1"/>
  <c r="AR127" i="1"/>
  <c r="AQ124" i="1"/>
  <c r="AR122" i="1"/>
  <c r="AQ120" i="1"/>
  <c r="AQ116" i="1"/>
  <c r="AR114" i="1"/>
  <c r="AQ112" i="1"/>
  <c r="AR109" i="1"/>
  <c r="AQ103" i="1"/>
  <c r="AR101" i="1"/>
  <c r="AQ99" i="1"/>
  <c r="AR96" i="1"/>
  <c r="AR94" i="1"/>
  <c r="AR92" i="1"/>
  <c r="AR90" i="1"/>
  <c r="AR88" i="1"/>
  <c r="AR86" i="1"/>
  <c r="AR80" i="1"/>
  <c r="AQ75" i="1"/>
  <c r="AR73" i="1"/>
  <c r="AQ71" i="1"/>
  <c r="AR57" i="1"/>
  <c r="AQ67" i="1"/>
  <c r="AR65" i="1"/>
  <c r="AQ63" i="1"/>
  <c r="AQ55" i="1"/>
  <c r="AR60" i="1"/>
  <c r="AR53" i="1"/>
  <c r="AR50" i="1"/>
  <c r="AR48" i="1"/>
  <c r="AR219" i="1"/>
  <c r="AR41" i="1"/>
  <c r="AQ39" i="1"/>
  <c r="AR37" i="1"/>
  <c r="AQ35" i="1"/>
  <c r="AR33" i="1"/>
  <c r="AQ31" i="1"/>
  <c r="AR28" i="1"/>
  <c r="AR26" i="1"/>
  <c r="AR24" i="1"/>
  <c r="AR21" i="1"/>
  <c r="AQ19" i="1"/>
  <c r="AR16" i="1"/>
  <c r="AQ199" i="1"/>
  <c r="AQ133" i="1"/>
  <c r="AQ244" i="1" l="1"/>
  <c r="AQ174" i="1"/>
  <c r="AQ72" i="1"/>
  <c r="AR148" i="1"/>
  <c r="AQ242" i="1"/>
  <c r="AQ193" i="1"/>
  <c r="AR103" i="1"/>
  <c r="AQ141" i="1"/>
  <c r="AQ90" i="1"/>
  <c r="AQ157" i="1"/>
  <c r="AQ106" i="1"/>
  <c r="AR39" i="1"/>
  <c r="AQ181" i="1"/>
  <c r="AR128" i="1"/>
  <c r="AQ89" i="1"/>
  <c r="AR75" i="1"/>
  <c r="AQ225" i="1"/>
  <c r="AR208" i="1"/>
  <c r="AQ166" i="1"/>
  <c r="AQ149" i="1"/>
  <c r="AR132" i="1"/>
  <c r="AQ119" i="1"/>
  <c r="AR116" i="1"/>
  <c r="AQ111" i="1"/>
  <c r="AR64" i="1"/>
  <c r="AR34" i="1"/>
  <c r="AQ58" i="1"/>
  <c r="AR31" i="1"/>
  <c r="AQ219" i="1"/>
  <c r="AQ86" i="1"/>
  <c r="AQ94" i="1"/>
  <c r="AR112" i="1"/>
  <c r="AQ127" i="1"/>
  <c r="AQ137" i="1"/>
  <c r="AQ145" i="1"/>
  <c r="AQ153" i="1"/>
  <c r="AQ161" i="1"/>
  <c r="AQ183" i="1"/>
  <c r="AR25" i="1"/>
  <c r="AR54" i="1"/>
  <c r="AQ97" i="1"/>
  <c r="AR140" i="1"/>
  <c r="AR156" i="1"/>
  <c r="AR180" i="1"/>
  <c r="AQ226" i="1"/>
  <c r="AR243" i="1"/>
  <c r="AR237" i="1"/>
  <c r="AR204" i="1"/>
  <c r="AQ162" i="1"/>
  <c r="AR124" i="1"/>
  <c r="AR99" i="1"/>
  <c r="AQ21" i="1"/>
  <c r="AQ26" i="1"/>
  <c r="AQ209" i="1"/>
  <c r="AQ177" i="1"/>
  <c r="AQ165" i="1"/>
  <c r="AR71" i="1"/>
  <c r="AR74" i="1"/>
  <c r="AR66" i="1"/>
  <c r="AQ45" i="1"/>
  <c r="AR253" i="1"/>
  <c r="AR228" i="1"/>
  <c r="AQ202" i="1"/>
  <c r="AQ191" i="1"/>
  <c r="AR168" i="1"/>
  <c r="AQ60" i="1"/>
  <c r="AR35" i="1"/>
  <c r="AQ43" i="1"/>
  <c r="AR220" i="1"/>
  <c r="AR227" i="1"/>
  <c r="AR212" i="1"/>
  <c r="AQ198" i="1"/>
  <c r="AQ194" i="1"/>
  <c r="AR188" i="1"/>
  <c r="AQ186" i="1"/>
  <c r="AR172" i="1"/>
  <c r="AQ167" i="1"/>
  <c r="AQ146" i="1"/>
  <c r="AQ122" i="1"/>
  <c r="AR87" i="1"/>
  <c r="AR67" i="1"/>
  <c r="AQ234" i="1"/>
  <c r="AQ250" i="1"/>
  <c r="AR245" i="1"/>
  <c r="AQ203" i="1"/>
  <c r="AQ178" i="1"/>
  <c r="AQ138" i="1"/>
  <c r="AQ154" i="1"/>
  <c r="AQ147" i="1"/>
  <c r="AQ131" i="1"/>
  <c r="AQ123" i="1"/>
  <c r="AQ113" i="1"/>
  <c r="AR95" i="1"/>
  <c r="AQ80" i="1"/>
  <c r="AR63" i="1"/>
  <c r="AQ36" i="1"/>
  <c r="AR27" i="1"/>
  <c r="AR15" i="1"/>
  <c r="AQ238" i="1"/>
  <c r="AQ246" i="1"/>
  <c r="AR233" i="1"/>
  <c r="AR241" i="1"/>
  <c r="AR249" i="1"/>
  <c r="AR224" i="1"/>
  <c r="AR223" i="1"/>
  <c r="AQ195" i="1"/>
  <c r="AR192" i="1"/>
  <c r="AQ179" i="1"/>
  <c r="AQ142" i="1"/>
  <c r="AQ150" i="1"/>
  <c r="AQ158" i="1"/>
  <c r="AQ139" i="1"/>
  <c r="AQ155" i="1"/>
  <c r="AQ121" i="1"/>
  <c r="AQ100" i="1"/>
  <c r="AQ101" i="1"/>
  <c r="AR91" i="1"/>
  <c r="AQ76" i="1"/>
  <c r="AQ61" i="1"/>
  <c r="AQ52" i="1"/>
  <c r="AR56" i="1"/>
  <c r="AQ50" i="1"/>
  <c r="AQ48" i="1"/>
  <c r="AQ32" i="1"/>
  <c r="AQ40" i="1"/>
  <c r="AR23" i="1"/>
  <c r="AQ16" i="1"/>
  <c r="AQ28" i="1"/>
  <c r="AQ57" i="1"/>
  <c r="AQ92" i="1"/>
  <c r="AQ114" i="1"/>
  <c r="AQ135" i="1"/>
  <c r="AQ143" i="1"/>
  <c r="AQ151" i="1"/>
  <c r="AQ159" i="1"/>
  <c r="AQ169" i="1"/>
  <c r="AQ173" i="1"/>
  <c r="AQ189" i="1"/>
  <c r="AR196" i="1"/>
  <c r="AR20" i="1"/>
  <c r="AR30" i="1"/>
  <c r="AR38" i="1"/>
  <c r="AR49" i="1"/>
  <c r="AR70" i="1"/>
  <c r="AQ85" i="1"/>
  <c r="AQ93" i="1"/>
  <c r="AQ102" i="1"/>
  <c r="AQ115" i="1"/>
  <c r="AQ125" i="1"/>
  <c r="AR136" i="1"/>
  <c r="AR144" i="1"/>
  <c r="AR152" i="1"/>
  <c r="AR160" i="1"/>
  <c r="AQ170" i="1"/>
  <c r="AQ182" i="1"/>
  <c r="AQ207" i="1"/>
  <c r="AR200" i="1"/>
  <c r="AQ236" i="1"/>
  <c r="AR252" i="1"/>
  <c r="AR235" i="1"/>
  <c r="AR251" i="1"/>
  <c r="AR17" i="1"/>
  <c r="AQ211" i="1"/>
  <c r="AQ213" i="1"/>
  <c r="AQ222" i="1"/>
  <c r="AQ232" i="1"/>
  <c r="AQ240" i="1"/>
  <c r="AQ248" i="1"/>
  <c r="AQ37" i="1"/>
  <c r="AR55" i="1"/>
  <c r="AQ205" i="1"/>
  <c r="AQ221" i="1"/>
  <c r="AR231" i="1"/>
  <c r="AR239" i="1"/>
  <c r="AR247" i="1"/>
  <c r="AR19" i="1"/>
  <c r="AQ33" i="1"/>
  <c r="AQ41" i="1"/>
  <c r="AQ53" i="1"/>
  <c r="AQ65" i="1"/>
  <c r="AQ73" i="1"/>
  <c r="AQ88" i="1"/>
  <c r="AQ96" i="1"/>
  <c r="AQ109" i="1"/>
  <c r="AR120" i="1"/>
  <c r="AQ129" i="1"/>
  <c r="AQ24" i="1"/>
  <c r="AR13" i="1"/>
  <c r="AQ13" i="1"/>
  <c r="AM12" i="1"/>
  <c r="AO12" i="1" s="1"/>
  <c r="AO258" i="1" s="1"/>
  <c r="AC12" i="1"/>
  <c r="AC258" i="1" s="1"/>
  <c r="AA12" i="1"/>
  <c r="W12" i="1"/>
  <c r="U12" i="1"/>
  <c r="U258" i="1" s="1"/>
  <c r="S12" i="1"/>
  <c r="Q12" i="1"/>
  <c r="Q258" i="1" s="1"/>
  <c r="O12" i="1"/>
  <c r="M12" i="1"/>
  <c r="M258" i="1" s="1"/>
  <c r="K12" i="1"/>
  <c r="Y12" i="1" l="1"/>
  <c r="Y258" i="1" s="1"/>
  <c r="AI258" i="1" l="1"/>
  <c r="AR12" i="1" l="1"/>
  <c r="AR258" i="1" s="1"/>
  <c r="AH258" i="1"/>
  <c r="AQ12" i="1" l="1"/>
  <c r="AQ258" i="1" s="1"/>
</calcChain>
</file>

<file path=xl/comments1.xml><?xml version="1.0" encoding="utf-8"?>
<comments xmlns="http://schemas.openxmlformats.org/spreadsheetml/2006/main">
  <authors>
    <author>Данилова Светлана Радиковна</author>
  </authors>
  <commentLis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<sst xmlns="http://schemas.openxmlformats.org/spreadsheetml/2006/main" count="960" uniqueCount="329">
  <si>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</si>
  <si>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</si>
  <si>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</si>
  <si>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</si>
  <si>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</si>
  <si>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</si>
  <si>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</si>
  <si>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</si>
  <si>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</si>
  <si>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</si>
  <si>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</si>
  <si>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</si>
  <si>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</si>
  <si>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</si>
  <si>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</si>
  <si>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</si>
  <si>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</si>
  <si>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</si>
  <si>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</si>
  <si>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</si>
  <si>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</si>
  <si>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</si>
  <si>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</si>
  <si>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</si>
  <si>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</si>
  <si>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</si>
  <si>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</si>
  <si>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</si>
  <si>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</si>
  <si>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</si>
  <si>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</si>
  <si>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</si>
  <si>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Общая Убираемая площадь территории (кв.м)</t>
  </si>
  <si>
    <t>В том числе Обслуживаемая площадь газонов,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</si>
  <si>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</si>
  <si>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ул.Ахметова 316/3</t>
  </si>
  <si>
    <t>Республика Башкортостан, г.Уфа, ул.Вологодская, 150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</si>
  <si>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</si>
  <si>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</si>
  <si>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</si>
  <si>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ул.Правды, 17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</si>
  <si>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</si>
  <si>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</si>
  <si>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</si>
  <si>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Республика Башкортостан, г.Уфа, ул.Т. Янаби 32/1</t>
  </si>
  <si>
    <t>г. Уфа</t>
  </si>
  <si>
    <t xml:space="preserve">Бирский МЦТЭТ </t>
  </si>
  <si>
    <t>Республика Башкортостан, г.Уфа, ул.Гоголя, 59</t>
  </si>
  <si>
    <t>Республика Башкортостан, г.Уфа, ул.Российская, 163/1а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</si>
  <si>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</si>
  <si>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</si>
  <si>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</si>
  <si>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</si>
  <si>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</si>
  <si>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</si>
  <si>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</si>
  <si>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</si>
  <si>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</si>
  <si>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</si>
  <si>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</si>
  <si>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</si>
  <si>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КУС, арендуемые помещения</t>
  </si>
  <si>
    <t>Туймазинский МЦТЭТ</t>
  </si>
  <si>
    <t>Выносные концентраторы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</si>
  <si>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</si>
  <si>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</si>
  <si>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</si>
  <si>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г.Уфа, ул.Деревенская переправа,53</t>
  </si>
  <si>
    <t>Республика Башкортостан, г.Уфа, ул.Нехаева,51/А</t>
  </si>
  <si>
    <t>Республика Башкортостан, г.Уфа, ул.Генерала Кусимова, 15/1</t>
  </si>
  <si>
    <t>Республика Башкортостан, г.Уфа, ул.Х. Давлетшиной, 18</t>
  </si>
  <si>
    <t>Республика Башкортостан, г.Уфа, ул.Сун-Ят-Сена, 11</t>
  </si>
  <si>
    <t>Республика Башкортостан, г.Уфа, ул.К. Маркса , 56</t>
  </si>
  <si>
    <t>Республика Башкортостан, г.Уфа, ул.С. Перовской, 50</t>
  </si>
  <si>
    <t>Республика Башкортостан, г.Уфа, ул.Высотная, 14/2</t>
  </si>
  <si>
    <t>Республика Башкортостан, г.Уфа, ул.Ахметова, 316/3</t>
  </si>
  <si>
    <t>Республика Башкортостан, г.Уфа, ул.Сельская 8/2</t>
  </si>
  <si>
    <t>Республика Башкортостан, г.Уфа, ул.Генерала Горбатова,3</t>
  </si>
  <si>
    <t xml:space="preserve">Республика Башкортостан, г.Уфа, ул.Менделеева,9 </t>
  </si>
  <si>
    <t>Республика Башкортостан, г.Уфа, ул.Башкирская, 16</t>
  </si>
  <si>
    <t>Республика Башкортостан, г.Уфа, ул.Ленина 32/1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</si>
  <si>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</si>
  <si>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</si>
  <si>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</si>
  <si>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</si>
  <si>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</si>
  <si>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</si>
  <si>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</si>
  <si>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</si>
  <si>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</si>
  <si>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</si>
  <si>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</si>
  <si>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</si>
  <si>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</si>
  <si>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с.Серменево,ул.Калинина,1</t>
  </si>
  <si>
    <t>Республика Башкортостан, Белорецкий район, с.Ассы ,ул.Больничная,1</t>
  </si>
  <si>
    <t>Республика Башкортостан, Белорецкий район, с.Шигаево,МФЦ</t>
  </si>
  <si>
    <t>Республика Башкортостан, Белорецкий район, п.В.Авзян, ул. Блюхера, 68</t>
  </si>
  <si>
    <t>Республика Башкортостан, Белорецкий район,п. Тукан, ул. Матросова, 11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</si>
  <si>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</si>
  <si>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</si>
  <si>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</si>
  <si>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</si>
  <si>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</si>
  <si>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</si>
  <si>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район,п.Каримово, ул. Центральная,21</t>
  </si>
  <si>
    <t>Республика Башкортостан,Учалинский район,п. Кирябинка, ул. Никольская,10</t>
  </si>
  <si>
    <t>Республика Башкортостан,Учалинский район,п.Буйда, УЛ.Центральная,35</t>
  </si>
  <si>
    <t>Республика Башкортостан,Учалинский район,п. Кунакбаево,ул. Школьная,8</t>
  </si>
  <si>
    <t>Республика Башкортостан,Учалинский район,п. Новобайрамгулово,ул. Шоссейная,41</t>
  </si>
  <si>
    <t>Республика Башкортостан,Учалинский район,д. Уразово, ул. Центральная,18</t>
  </si>
  <si>
    <t>Республика Башкортостан,Учалинский район,д. Ишмекеево, ул. Сорагол, 3</t>
  </si>
  <si>
    <t>Республика Башкортостан,Учалинский район,д. Расулево,ул. Школьная 2</t>
  </si>
  <si>
    <t>Республика Башкортостан,Учалинский район,п. Зайникей, ул. Серебренникова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</si>
  <si>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</si>
  <si>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</si>
  <si>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</si>
  <si>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Советская, 27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</si>
  <si>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</si>
  <si>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</si>
  <si>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</si>
  <si>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</si>
  <si>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</si>
  <si>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</si>
  <si>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</si>
  <si>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</si>
  <si>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</si>
  <si>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</si>
  <si>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</si>
  <si>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</si>
  <si>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район,с. Месягутово, ул. Электрическая, 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</si>
  <si>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</si>
  <si>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</si>
  <si>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</si>
  <si>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</si>
  <si>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</si>
  <si>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</si>
  <si>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</si>
  <si>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</si>
  <si>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</si>
  <si>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</si>
  <si>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</si>
  <si>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</si>
  <si>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</si>
  <si>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</si>
  <si>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</si>
  <si>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</si>
  <si>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</si>
  <si>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</si>
  <si>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</si>
  <si>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</si>
  <si>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</si>
  <si>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</si>
  <si>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</si>
  <si>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</si>
  <si>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</si>
  <si>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</si>
  <si>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</si>
  <si>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</si>
  <si>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</si>
  <si>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</si>
  <si>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</si>
  <si>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</si>
  <si>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</si>
  <si>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</si>
  <si>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</si>
  <si>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</si>
  <si>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</si>
  <si>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</si>
  <si>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</si>
  <si>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Республика Башкортостан, г. Стерлитамак, ул.Дружбы 29б (АТС-41-43)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</si>
  <si>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</si>
  <si>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</si>
  <si>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</si>
  <si>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>Республика Башкортостан, г. Стерлитамак, ул.Коммунистическая -30</t>
  </si>
  <si>
    <t xml:space="preserve">Республика Башкортостан, г. Ишимбай, ул.Советская -74 </t>
  </si>
  <si>
    <t>Республика Башкортостан, г. Ишимбай, ул.Докучаева-12(П/П)</t>
  </si>
  <si>
    <t>Республика Башкортостан, г. Ишимбай, ул.Геологическая-11(АТС-2)</t>
  </si>
  <si>
    <t>Республика Башкортостан, Ишимбайский район, ул.с.Петровское,ул.Ленина,19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</si>
  <si>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</si>
  <si>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</si>
  <si>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</si>
  <si>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</si>
  <si>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</si>
  <si>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</si>
  <si>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</si>
  <si>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</si>
  <si>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</si>
  <si>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</si>
  <si>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</si>
  <si>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</si>
  <si>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</si>
  <si>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</si>
  <si>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 ул.Ленина 20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</si>
  <si>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</si>
  <si>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</si>
  <si>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ул.Островского, 1а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</si>
  <si>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</si>
  <si>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</si>
  <si>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</si>
  <si>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г. Октябрьск, ул.Клинова,12</t>
  </si>
  <si>
    <t>Республика Башкортостан, Туймазинский район, с. Раевка, ул.Ленина,114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</si>
  <si>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</si>
  <si>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</si>
  <si>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</si>
  <si>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</si>
  <si>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</si>
  <si>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Нефтекамск,ул.Ленина,  13</t>
  </si>
  <si>
    <t>Республика Башкортостан, г. Янаул,ул.Худайбердина,5</t>
  </si>
  <si>
    <t>Республика Башкортостан, г.Агидель ул.Курчатова,15</t>
  </si>
  <si>
    <t>Республика Башкортостан,г. Стерлитамак, ул.Гоголя,118а(АТС-26)</t>
  </si>
  <si>
    <t>Республика Башкортостан,г. Стерлитамак, ул.Сакко и Вацетти,23(АТС-25)</t>
  </si>
  <si>
    <t>Республика Башкортостан,г. Стерлитамак, ул.Караная Муратова,2</t>
  </si>
  <si>
    <t>Республика Башкортостан,г. Стерлитамак, ул.Коммунистическая,30</t>
  </si>
  <si>
    <t>Республика Башкортостан,г. Ишимбай, ул.Советская,74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</si>
  <si>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</si>
  <si>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</si>
  <si>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Башкортостан,г. Салават,ул.Ю.Гагарина,5</t>
  </si>
  <si>
    <t>Республика Башкортостан,Аургазинский район, с. Толбазы,ул.Первомайская,12</t>
  </si>
  <si>
    <t>Республика Башкортостан, Федоровский район, с. Федоровка,ул.Коммунистическая,72</t>
  </si>
  <si>
    <t>РП-17,Республика Башкортостан, г. Уфа, ул.Ирендык, 4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</si>
  <si>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</si>
  <si>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</si>
  <si>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Стерлибашевский район, с. Стерлибашево, ул.К.Маркса,109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</si>
  <si>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</si>
  <si>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</si>
  <si>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</si>
  <si>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Республика Башкортостан,Учалинский район,д. Ильчино,ул. Учителей,1</t>
  </si>
  <si>
    <t>Салаватский ЛТЦ</t>
  </si>
  <si>
    <t>Республика Башкортостан, г.Уфа, ул.Ленина 30/1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</si>
  <si>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</si>
  <si>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</si>
  <si>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</si>
  <si>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</si>
  <si>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</si>
  <si>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</si>
  <si>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</si>
  <si>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</si>
  <si>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</si>
  <si>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</si>
  <si>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</si>
  <si>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</si>
  <si>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</si>
  <si>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</si>
  <si>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</si>
  <si>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</si>
  <si>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</si>
  <si>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</si>
  <si>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</si>
  <si>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</si>
  <si>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</si>
  <si>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>ПРИЛОЖЕНИЕ № 1 к договору № _________________</t>
  </si>
  <si>
    <t>от _____________________</t>
  </si>
  <si>
    <t>ПАО «Башинформсвязь»</t>
  </si>
  <si>
    <t>м.п.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</si>
  <si>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</si>
  <si>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</si>
  <si>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</si>
  <si>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</si>
  <si>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</si>
  <si>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</si>
  <si>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РП-17</t>
  </si>
  <si>
    <t>Расчётно-сервисный центр РП-24</t>
  </si>
  <si>
    <t>Расчётно-сервисный центр РП-11</t>
  </si>
  <si>
    <t>Расчётно-сервисный центр РП-46</t>
  </si>
  <si>
    <t>Расчётно-сервисный центр РП-1</t>
  </si>
  <si>
    <t>Расчётно-сервисный центр РП</t>
  </si>
  <si>
    <t>Расчётно-сервисный центр РП-5</t>
  </si>
  <si>
    <t>Расчётно-сервисный центр РП-6</t>
  </si>
  <si>
    <t>Контейнер узла связи</t>
  </si>
  <si>
    <t>ИТОГО по ПАО "Башинфорсвязь"</t>
  </si>
  <si>
    <t>Республика Башкортостан, г. Уфа, ул. Р.Зорге, 67/3</t>
  </si>
  <si>
    <t>Бирский МУЭС-центр,Здание ГТС</t>
  </si>
  <si>
    <t>Гаражное помещение, Здание ЛТЦ</t>
  </si>
  <si>
    <t>Республика Башкортостан, г. Уфа, ул.Правды,17</t>
  </si>
  <si>
    <t>,Республика Башкортостан, г. Уфа, ул.Победы,21/1</t>
  </si>
  <si>
    <t>Республика Башкортостан, г. Уфа, ул.Кирова,105</t>
  </si>
  <si>
    <t>Республика Башкортостан, г. Уфа, ул.Сельская,8/2</t>
  </si>
  <si>
    <t>Республика Башкортостан, г. Уфа, ул.Борисоглебского,41</t>
  </si>
  <si>
    <t>Республика Башкортостан, г. Уфа, ул.Т.Янаби,32/1</t>
  </si>
  <si>
    <t>Республика Башкортостан, г. Уфа, ул.Рабкоров, 6/1</t>
  </si>
  <si>
    <t>Республика Башкортостан, г.Бирск, ул. Бурновская, 10</t>
  </si>
  <si>
    <t>Республика Башкортостан, г.Бирск,8 Марта 38а</t>
  </si>
  <si>
    <t>Республика Башкортостан, Белорецкий район,п. Тирлян, ул. Советская, 1а</t>
  </si>
  <si>
    <t>Республика Башкортостан, Дорожников, 18</t>
  </si>
  <si>
    <t>Стерлитамакский ГЦТЭТ</t>
  </si>
  <si>
    <t>Республика Башкортостан, Стерлитамакский район, с. Наумовка, ул. Ленина, 37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</si>
  <si>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</si>
  <si>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</si>
  <si>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</si>
  <si>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</si>
  <si>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</si>
  <si>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Заказчик</t>
  </si>
  <si>
    <t>Республика Башкортостан, с.Калтасы,ул. К.Маркса-49</t>
  </si>
  <si>
    <t>Янаульский ЛТЦ</t>
  </si>
  <si>
    <t>Республика Башкортостан, г.Уфа, ул.Ленина, 30</t>
  </si>
  <si>
    <t>Республика Башкортостан, г.Уфа, ул.Ленина, 32</t>
  </si>
  <si>
    <t>Республика Башкортостан, г. Уфа, ул.Ленина,32</t>
  </si>
  <si>
    <t>ТЦТЭТ</t>
  </si>
  <si>
    <t>Республика Башкортостан, г.Уфа, ул.Лесотехникума, 34/2/Луганская 37А</t>
  </si>
  <si>
    <t>Республика Башкортостан, Бураевский район, с.Бураево,Уф.шоссе 2/1</t>
  </si>
  <si>
    <t>РТПС</t>
  </si>
  <si>
    <t>Республика Башкортостан,г. Стерлитамак, ул.Сакко и Вацетти,23</t>
  </si>
  <si>
    <t>КТЛБ-2</t>
  </si>
  <si>
    <t>КТЛБ-4</t>
  </si>
  <si>
    <t>Участок спецсвязь</t>
  </si>
  <si>
    <t>Республика Башкортостан,г. Белебей, ул.Коммунистическая, 53 (здание лаборатории)</t>
  </si>
  <si>
    <t>Республика Башкортостан,г. Уфа, ул. Ленина, 30</t>
  </si>
  <si>
    <t>Республика Башкортостан,г. Уфа, ул. Правды, 17</t>
  </si>
  <si>
    <t>ЦМТЭТ</t>
  </si>
  <si>
    <t>Республика Башкортостан, г.Уфа, ул.Каспийская 14</t>
  </si>
  <si>
    <t>Республика Башкортостан, г. Уфа, ,ул.Гагарина,39/2</t>
  </si>
  <si>
    <t>Республика Башкортостан, г. Уфа, ,ул.Гагарина,39</t>
  </si>
  <si>
    <t>Республика Башкортостан, г. Уфа, ул.Российская,19</t>
  </si>
  <si>
    <t>Согласно Приложения № 2 к Договору</t>
  </si>
  <si>
    <t>Адрес объекта (полный, с указанием субъекта федерации)</t>
  </si>
  <si>
    <t>ТИП ЗДАНИЯ                        (прочие объекты )</t>
  </si>
  <si>
    <t>9=6*8</t>
  </si>
  <si>
    <t>13=10*12</t>
  </si>
  <si>
    <t>17=14*16</t>
  </si>
  <si>
    <t>21=18*20</t>
  </si>
  <si>
    <t>25=22*24</t>
  </si>
  <si>
    <t>29=26*28</t>
  </si>
  <si>
    <t>33=30*32</t>
  </si>
  <si>
    <t>35=9+13+17+21+25+29+33</t>
  </si>
  <si>
    <t>41=36*39</t>
  </si>
  <si>
    <t>42=36*40</t>
  </si>
  <si>
    <t>43=34+41</t>
  </si>
  <si>
    <t>44=35+42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</si>
</sst>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</numFmts>
  <fonts count="24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7" borderId="0" xfId="0" applyFont="1" applyFill="1"/>
    <xf numFmtId="0" fontId="3" fillId="8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8" borderId="0" xfId="0" applyFont="1" applyFill="1" applyBorder="1"/>
    <xf numFmtId="0" fontId="9" fillId="0" borderId="0" xfId="0" applyFont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4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166" fontId="0" fillId="0" borderId="0" xfId="0" applyNumberFormat="1" applyFill="1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 applyProtection="1">
      <alignment horizontal="left" vertical="top" wrapText="1"/>
    </xf>
    <xf numFmtId="166" fontId="11" fillId="0" borderId="3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center" vertical="center" wrapText="1"/>
    </xf>
    <xf numFmtId="166" fontId="11" fillId="0" borderId="3" xfId="6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166" fontId="12" fillId="0" borderId="4" xfId="0" applyNumberFormat="1" applyFont="1" applyFill="1" applyBorder="1" applyAlignment="1">
      <alignment horizontal="center" vertical="center" wrapText="1"/>
    </xf>
    <xf numFmtId="0" fontId="4" fillId="8" borderId="0" xfId="0" applyFont="1" applyFill="1" applyBorder="1"/>
    <xf numFmtId="0" fontId="4" fillId="8" borderId="0" xfId="0" applyFont="1" applyFill="1"/>
    <xf numFmtId="166" fontId="11" fillId="0" borderId="10" xfId="0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 applyAlignment="1">
      <alignment horizontal="center" vertical="center" wrapText="1"/>
    </xf>
    <xf numFmtId="166" fontId="11" fillId="0" borderId="10" xfId="6" applyNumberFormat="1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0" fontId="5" fillId="8" borderId="0" xfId="0" applyFont="1" applyFill="1" applyBorder="1"/>
    <xf numFmtId="0" fontId="5" fillId="8" borderId="0" xfId="0" applyFont="1" applyFill="1"/>
    <xf numFmtId="0" fontId="15" fillId="8" borderId="0" xfId="0" applyFont="1" applyFill="1" applyBorder="1"/>
    <xf numFmtId="0" fontId="15" fillId="8" borderId="0" xfId="0" applyFont="1" applyFill="1"/>
    <xf numFmtId="0" fontId="15" fillId="7" borderId="0" xfId="0" applyFont="1" applyFill="1"/>
    <xf numFmtId="166" fontId="11" fillId="0" borderId="3" xfId="0" applyNumberFormat="1" applyFont="1" applyFill="1" applyBorder="1" applyAlignment="1">
      <alignment horizontal="left" vertical="center" wrapText="1"/>
    </xf>
    <xf numFmtId="0" fontId="12" fillId="8" borderId="0" xfId="0" applyFont="1" applyFill="1" applyBorder="1"/>
    <xf numFmtId="0" fontId="12" fillId="8" borderId="0" xfId="0" applyFont="1" applyFill="1"/>
    <xf numFmtId="0" fontId="13" fillId="0" borderId="3" xfId="0" applyNumberFormat="1" applyFont="1" applyFill="1" applyBorder="1" applyAlignment="1">
      <alignment horizontal="left" vertical="top" wrapText="1"/>
    </xf>
    <xf numFmtId="4" fontId="16" fillId="0" borderId="0" xfId="0" applyNumberFormat="1" applyFont="1" applyBorder="1" applyAlignment="1">
      <alignment horizontal="center" vertical="center"/>
    </xf>
    <xf numFmtId="0" fontId="17" fillId="8" borderId="0" xfId="0" applyFont="1" applyFill="1" applyBorder="1"/>
    <xf numFmtId="0" fontId="17" fillId="8" borderId="0" xfId="0" applyFont="1" applyFill="1"/>
    <xf numFmtId="0" fontId="5" fillId="8" borderId="0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4" fillId="8" borderId="13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13" fillId="10" borderId="1" xfId="0" applyFont="1" applyFill="1" applyBorder="1" applyAlignment="1">
      <alignment horizontal="left"/>
    </xf>
    <xf numFmtId="166" fontId="13" fillId="1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0" fontId="11" fillId="0" borderId="10" xfId="0" applyNumberFormat="1" applyFont="1" applyFill="1" applyBorder="1" applyAlignment="1">
      <alignment horizontal="left" vertical="top" wrapText="1"/>
    </xf>
    <xf numFmtId="0" fontId="11" fillId="0" borderId="10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>
      <alignment horizontal="left" vertical="center" wrapText="1"/>
    </xf>
    <xf numFmtId="4" fontId="3" fillId="0" borderId="0" xfId="0" applyNumberFormat="1" applyFont="1"/>
    <xf numFmtId="4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1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8" borderId="12" xfId="0" applyFont="1" applyFill="1" applyBorder="1"/>
    <xf numFmtId="0" fontId="3" fillId="0" borderId="12" xfId="0" applyFont="1" applyFill="1" applyBorder="1"/>
    <xf numFmtId="0" fontId="3" fillId="7" borderId="12" xfId="0" applyFont="1" applyFill="1" applyBorder="1"/>
    <xf numFmtId="0" fontId="13" fillId="0" borderId="11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11" xfId="0" applyNumberFormat="1" applyFont="1" applyFill="1" applyBorder="1" applyAlignment="1">
      <alignment horizontal="left" vertical="center" wrapText="1"/>
    </xf>
    <xf numFmtId="0" fontId="11" fillId="0" borderId="11" xfId="0" applyNumberFormat="1" applyFont="1" applyFill="1" applyBorder="1" applyAlignment="1">
      <alignment horizontal="left" vertical="top" wrapText="1"/>
    </xf>
    <xf numFmtId="0" fontId="11" fillId="0" borderId="11" xfId="0" applyNumberFormat="1" applyFont="1" applyFill="1" applyBorder="1" applyAlignment="1" applyProtection="1">
      <alignment horizontal="left" vertical="top" wrapText="1"/>
    </xf>
    <xf numFmtId="0" fontId="14" fillId="8" borderId="6" xfId="0" applyNumberFormat="1" applyFont="1" applyFill="1" applyBorder="1" applyAlignment="1">
      <alignment vertical="center" wrapText="1"/>
    </xf>
    <xf numFmtId="0" fontId="14" fillId="8" borderId="6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horizontal="center"/>
    </xf>
    <xf numFmtId="0" fontId="13" fillId="8" borderId="6" xfId="0" applyNumberFormat="1" applyFont="1" applyFill="1" applyBorder="1" applyAlignment="1">
      <alignment vertical="center" wrapText="1"/>
    </xf>
    <xf numFmtId="0" fontId="13" fillId="8" borderId="6" xfId="0" applyFont="1" applyFill="1" applyBorder="1" applyAlignment="1">
      <alignment vertical="center" wrapText="1"/>
    </xf>
    <xf numFmtId="166" fontId="14" fillId="8" borderId="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4" fontId="0" fillId="0" borderId="0" xfId="0" applyNumberFormat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0" fillId="0" borderId="2" xfId="0" applyBorder="1"/>
    <xf numFmtId="0" fontId="5" fillId="8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3" fillId="0" borderId="15" xfId="0" applyFont="1" applyFill="1" applyBorder="1"/>
    <xf numFmtId="0" fontId="4" fillId="8" borderId="15" xfId="0" applyFont="1" applyFill="1" applyBorder="1" applyAlignment="1">
      <alignment horizontal="center"/>
    </xf>
    <xf numFmtId="166" fontId="12" fillId="0" borderId="12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16" fillId="0" borderId="0" xfId="0" applyNumberFormat="1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/>
    <xf numFmtId="166" fontId="13" fillId="0" borderId="15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left" vertical="top" wrapText="1"/>
    </xf>
    <xf numFmtId="166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166" fontId="16" fillId="0" borderId="0" xfId="0" applyNumberFormat="1" applyFont="1" applyFill="1"/>
    <xf numFmtId="4" fontId="9" fillId="0" borderId="0" xfId="0" applyNumberFormat="1" applyFont="1" applyBorder="1"/>
    <xf numFmtId="0" fontId="16" fillId="0" borderId="0" xfId="0" applyFont="1" applyFill="1" applyBorder="1"/>
    <xf numFmtId="0" fontId="20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3" fillId="8" borderId="5" xfId="0" applyNumberFormat="1" applyFont="1" applyFill="1" applyBorder="1" applyAlignment="1">
      <alignment horizontal="center" vertical="center" wrapText="1"/>
    </xf>
    <xf numFmtId="0" fontId="13" fillId="8" borderId="6" xfId="0" applyNumberFormat="1" applyFont="1" applyFill="1" applyBorder="1" applyAlignment="1">
      <alignment horizontal="center" vertical="center" wrapText="1"/>
    </xf>
    <xf numFmtId="0" fontId="14" fillId="8" borderId="5" xfId="0" applyNumberFormat="1" applyFont="1" applyFill="1" applyBorder="1" applyAlignment="1">
      <alignment horizontal="center" vertical="center" wrapText="1"/>
    </xf>
    <xf numFmtId="0" fontId="14" fillId="8" borderId="6" xfId="0" applyNumberFormat="1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166" fontId="13" fillId="7" borderId="1" xfId="0" applyNumberFormat="1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20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center" wrapText="1"/>
    </xf>
    <xf numFmtId="0" fontId="13" fillId="10" borderId="6" xfId="0" applyFont="1" applyFill="1" applyBorder="1" applyAlignment="1">
      <alignment horizontal="left" vertical="center" wrapText="1"/>
    </xf>
    <xf numFmtId="0" fontId="13" fillId="10" borderId="2" xfId="0" applyFont="1" applyFill="1" applyBorder="1" applyAlignment="1">
      <alignment horizontal="left" vertical="center" wrapText="1"/>
    </xf>
  </cellXfs>
  <cellStyles count="10">
    <cellStyle name="Денежный 2" xfId="8"/>
    <cellStyle name="Обычный" xfId="0" builtinId="0"/>
    <cellStyle name="Обычный 2" xfId="1"/>
    <cellStyle name="Обычный 2 2" xfId="7"/>
    <cellStyle name="Обычный 4" xfId="2"/>
    <cellStyle name="Процентный 3" xfId="9"/>
    <cellStyle name="Стиль 1" xfId="3"/>
    <cellStyle name="Финансовый 2" xfId="4"/>
    <cellStyle name="Финансовый 3" xfId="5"/>
    <cellStyle name="Финансовый_Удмуртия Приложение № 1к договору уборк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272"/>
  <sheetViews>
    <sheetView tabSelected="1" topLeftCell="Z73" zoomScale="55" zoomScaleNormal="55" zoomScaleSheetLayoutView="40" workbookViewId="0">
      <selection activeCell="AJ12" sqref="AJ12"/>
    </sheetView>
  </sheetViews>
  <sheetFormatPr defaultRowHeight="15" outlineLevelRow="1" outlineLevelCol="2" x14ac:dyDescent="0.25"/>
  <cols>
    <col min="1" max="1" width="11.85546875" customWidth="1"/>
    <col min="2" max="2" width="28.5703125" customWidth="1"/>
    <col min="3" max="3" width="37.85546875" customWidth="1"/>
    <col min="4" max="4" width="20.7109375" style="2" customWidth="1"/>
    <col min="5" max="5" width="16.140625" style="3" customWidth="1"/>
    <col min="6" max="6" width="13.5703125" style="6" customWidth="1" outlineLevel="1"/>
    <col min="7" max="9" width="13.5703125" style="1" customWidth="1" outlineLevel="2"/>
    <col min="10" max="10" width="21.28515625" style="6" customWidth="1" outlineLevel="1"/>
    <col min="11" max="11" width="13.28515625" style="1" customWidth="1" outlineLevel="2"/>
    <col min="12" max="12" width="16.140625" style="1" customWidth="1" outlineLevel="2"/>
    <col min="13" max="13" width="14.85546875" style="1" customWidth="1" outlineLevel="2"/>
    <col min="14" max="14" width="22.85546875" style="6" customWidth="1" outlineLevel="1"/>
    <col min="15" max="15" width="14.28515625" style="1" customWidth="1" outlineLevel="2"/>
    <col min="16" max="16" width="15.28515625" style="1" customWidth="1" outlineLevel="2"/>
    <col min="17" max="17" width="14.5703125" style="1" customWidth="1" outlineLevel="2"/>
    <col min="18" max="18" width="13.28515625" style="6" customWidth="1" outlineLevel="1"/>
    <col min="19" max="21" width="13.28515625" style="1" customWidth="1" outlineLevel="2"/>
    <col min="22" max="22" width="13.28515625" style="6" customWidth="1" outlineLevel="1"/>
    <col min="23" max="24" width="18" style="1" customWidth="1" outlineLevel="2"/>
    <col min="25" max="25" width="13.28515625" style="1" customWidth="1" outlineLevel="2"/>
    <col min="26" max="26" width="14.140625" style="6" customWidth="1" outlineLevel="1"/>
    <col min="27" max="28" width="14.140625" style="1" customWidth="1" outlineLevel="2"/>
    <col min="29" max="29" width="18.5703125" style="1" customWidth="1" outlineLevel="2"/>
    <col min="30" max="30" width="18.140625" style="6" customWidth="1" outlineLevel="1"/>
    <col min="31" max="33" width="16" style="1" customWidth="1" outlineLevel="2"/>
    <col min="34" max="35" width="16" style="1" customWidth="1" outlineLevel="1"/>
    <col min="36" max="36" width="14.42578125" style="7" customWidth="1"/>
    <col min="37" max="37" width="28.42578125" customWidth="1"/>
    <col min="38" max="42" width="19.28515625" style="7" customWidth="1"/>
    <col min="43" max="43" width="16.85546875" customWidth="1"/>
    <col min="44" max="44" width="20.85546875" style="22" customWidth="1"/>
    <col min="45" max="45" width="20.85546875" customWidth="1"/>
    <col min="46" max="46" width="9.140625" style="8" customWidth="1"/>
    <col min="47" max="50" width="9.140625" style="8"/>
  </cols>
  <sheetData>
    <row r="1" spans="1:80" ht="18.75" x14ac:dyDescent="0.3">
      <c r="A1" s="8"/>
      <c r="B1" s="137"/>
      <c r="C1" s="138"/>
      <c r="D1" s="17"/>
      <c r="E1" s="11"/>
      <c r="F1" s="12"/>
      <c r="G1" s="13"/>
      <c r="H1" s="13"/>
      <c r="I1" s="13"/>
      <c r="J1" s="12"/>
      <c r="K1" s="13"/>
      <c r="L1" s="13"/>
      <c r="M1" s="13"/>
      <c r="N1" s="12"/>
      <c r="O1" s="13"/>
      <c r="P1" s="13"/>
      <c r="Q1" s="13"/>
      <c r="R1" s="12"/>
      <c r="S1" s="13"/>
      <c r="T1" s="13"/>
      <c r="U1" s="13"/>
      <c r="V1" s="12"/>
      <c r="W1" s="13"/>
      <c r="X1" s="13"/>
      <c r="Y1" s="13"/>
      <c r="Z1" s="12"/>
      <c r="AA1" s="13"/>
      <c r="AB1" s="13"/>
      <c r="AC1" s="13"/>
      <c r="AD1" s="12"/>
      <c r="AE1" s="13"/>
      <c r="AF1" s="13"/>
      <c r="AG1" s="13"/>
      <c r="AH1" s="13"/>
      <c r="AI1" s="13"/>
      <c r="AL1" s="16"/>
      <c r="AM1" s="16"/>
      <c r="AN1" s="16"/>
      <c r="AO1" s="16"/>
      <c r="AP1" s="15" t="s">
        <v>251</v>
      </c>
      <c r="AR1" s="16"/>
      <c r="AS1" s="16"/>
    </row>
    <row r="2" spans="1:80" ht="18.75" x14ac:dyDescent="0.3">
      <c r="A2" s="8"/>
      <c r="B2" s="137"/>
      <c r="C2" s="83"/>
      <c r="D2" s="17"/>
      <c r="E2" s="11"/>
      <c r="F2" s="12"/>
      <c r="G2" s="13"/>
      <c r="H2" s="13"/>
      <c r="I2" s="13"/>
      <c r="J2" s="24"/>
      <c r="K2" s="13"/>
      <c r="L2" s="49"/>
      <c r="M2" s="13"/>
      <c r="N2" s="12"/>
      <c r="O2" s="13"/>
      <c r="P2" s="13"/>
      <c r="Q2" s="13"/>
      <c r="R2" s="12"/>
      <c r="S2" s="13"/>
      <c r="T2" s="113"/>
      <c r="U2" s="13"/>
      <c r="V2" s="12"/>
      <c r="W2" s="13"/>
      <c r="X2" s="13"/>
      <c r="Y2" s="13"/>
      <c r="Z2" s="12"/>
      <c r="AA2" s="13"/>
      <c r="AB2" s="49"/>
      <c r="AC2" s="13"/>
      <c r="AD2" s="12"/>
      <c r="AE2" s="13"/>
      <c r="AF2" s="13"/>
      <c r="AG2" s="13"/>
      <c r="AH2" s="13"/>
      <c r="AI2" s="13"/>
      <c r="AL2" s="16"/>
      <c r="AM2" s="16"/>
      <c r="AN2" s="16"/>
      <c r="AO2" s="16"/>
      <c r="AP2" s="15" t="s">
        <v>252</v>
      </c>
      <c r="AR2" s="16"/>
      <c r="AS2" s="16"/>
    </row>
    <row r="3" spans="1:80" ht="18.75" x14ac:dyDescent="0.3">
      <c r="A3" s="8"/>
      <c r="B3" s="10"/>
      <c r="C3" s="8"/>
      <c r="D3" s="17"/>
      <c r="E3" s="11"/>
      <c r="F3" s="12"/>
      <c r="G3" s="13"/>
      <c r="H3" s="13"/>
      <c r="I3" s="13"/>
      <c r="J3" s="12"/>
      <c r="K3" s="13"/>
      <c r="L3" s="13"/>
      <c r="M3" s="13"/>
      <c r="N3" s="12"/>
      <c r="O3" s="13"/>
      <c r="P3" s="13"/>
      <c r="Q3" s="13"/>
      <c r="R3" s="12"/>
      <c r="S3" s="13"/>
      <c r="T3" s="13"/>
      <c r="U3" s="13"/>
      <c r="V3" s="12"/>
      <c r="W3" s="49"/>
      <c r="X3" s="49"/>
      <c r="Y3" s="13"/>
      <c r="Z3" s="12"/>
      <c r="AA3" s="13"/>
      <c r="AB3" s="13"/>
      <c r="AC3" s="13"/>
      <c r="AD3" s="12"/>
      <c r="AE3" s="13"/>
      <c r="AF3" s="13"/>
      <c r="AG3" s="13"/>
      <c r="AH3" s="13"/>
      <c r="AI3" s="13"/>
      <c r="AL3" s="16"/>
      <c r="AM3" s="16"/>
      <c r="AN3" s="16"/>
      <c r="AO3" s="16"/>
      <c r="AP3" s="16"/>
      <c r="AQ3" s="16"/>
      <c r="AS3" s="8"/>
    </row>
    <row r="4" spans="1:80" ht="15.75" x14ac:dyDescent="0.25">
      <c r="A4" s="67"/>
      <c r="B4" s="68"/>
      <c r="C4" s="67"/>
      <c r="D4" s="69"/>
      <c r="E4" s="70"/>
      <c r="F4" s="66"/>
      <c r="G4" s="71"/>
      <c r="H4" s="71"/>
      <c r="I4" s="71"/>
      <c r="J4" s="66"/>
      <c r="K4" s="71"/>
      <c r="L4" s="71"/>
      <c r="M4" s="71"/>
      <c r="N4" s="66"/>
      <c r="O4" s="71"/>
      <c r="P4" s="71"/>
      <c r="Q4" s="71"/>
      <c r="R4" s="66"/>
      <c r="S4" s="71"/>
      <c r="T4" s="71"/>
      <c r="U4" s="71"/>
      <c r="V4" s="66"/>
      <c r="W4" s="71"/>
      <c r="X4" s="71"/>
      <c r="Y4" s="71"/>
      <c r="Z4" s="66"/>
      <c r="AA4" s="71"/>
      <c r="AB4" s="71"/>
      <c r="AC4" s="71"/>
      <c r="AD4" s="66"/>
      <c r="AE4" s="71"/>
      <c r="AF4" s="71"/>
      <c r="AG4" s="71"/>
      <c r="AH4" s="71"/>
      <c r="AI4" s="71"/>
      <c r="AJ4" s="62"/>
      <c r="AK4" s="72"/>
      <c r="AL4" s="16"/>
      <c r="AM4" s="16"/>
      <c r="AN4" s="16"/>
      <c r="AO4" s="16"/>
      <c r="AP4" s="16"/>
      <c r="AQ4" s="16"/>
      <c r="AR4" s="81"/>
      <c r="AS4" s="8"/>
    </row>
    <row r="5" spans="1:80" ht="15" customHeight="1" x14ac:dyDescent="0.25">
      <c r="A5" s="171" t="s">
        <v>34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8"/>
    </row>
    <row r="6" spans="1:80" ht="28.5" customHeight="1" x14ac:dyDescent="0.25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8"/>
    </row>
    <row r="7" spans="1:80" ht="35.25" customHeight="1" x14ac:dyDescent="0.25">
      <c r="A7" s="149" t="s">
        <v>4</v>
      </c>
      <c r="B7" s="150" t="s">
        <v>6</v>
      </c>
      <c r="C7" s="150"/>
      <c r="D7" s="151"/>
      <c r="E7" s="152" t="s">
        <v>0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4"/>
      <c r="AJ7" s="152" t="s">
        <v>1</v>
      </c>
      <c r="AK7" s="153"/>
      <c r="AL7" s="153"/>
      <c r="AM7" s="153"/>
      <c r="AN7" s="154"/>
      <c r="AO7" s="158" t="s">
        <v>27</v>
      </c>
      <c r="AP7" s="158" t="s">
        <v>28</v>
      </c>
      <c r="AQ7" s="158" t="s">
        <v>24</v>
      </c>
      <c r="AR7" s="160" t="s">
        <v>23</v>
      </c>
      <c r="AS7" s="14"/>
      <c r="AT7" s="14"/>
      <c r="AU7" s="14"/>
      <c r="AV7" s="14"/>
    </row>
    <row r="8" spans="1:80" ht="26.25" customHeight="1" thickBot="1" x14ac:dyDescent="0.3">
      <c r="A8" s="149"/>
      <c r="B8" s="150" t="s">
        <v>5</v>
      </c>
      <c r="C8" s="162" t="s">
        <v>315</v>
      </c>
      <c r="D8" s="166" t="s">
        <v>316</v>
      </c>
      <c r="E8" s="164" t="s">
        <v>2</v>
      </c>
      <c r="F8" s="173" t="s">
        <v>3</v>
      </c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5"/>
      <c r="AJ8" s="157" t="s">
        <v>32</v>
      </c>
      <c r="AK8" s="157" t="s">
        <v>14</v>
      </c>
      <c r="AL8" s="157" t="s">
        <v>33</v>
      </c>
      <c r="AM8" s="155" t="s">
        <v>25</v>
      </c>
      <c r="AN8" s="155" t="s">
        <v>26</v>
      </c>
      <c r="AO8" s="159"/>
      <c r="AP8" s="159"/>
      <c r="AQ8" s="159"/>
      <c r="AR8" s="161"/>
      <c r="AS8" s="14"/>
      <c r="AT8" s="14"/>
      <c r="AU8" s="14"/>
      <c r="AV8" s="14"/>
    </row>
    <row r="9" spans="1:80" ht="157.5" customHeight="1" x14ac:dyDescent="0.25">
      <c r="A9" s="149"/>
      <c r="B9" s="151"/>
      <c r="C9" s="163"/>
      <c r="D9" s="167"/>
      <c r="E9" s="165"/>
      <c r="F9" s="91" t="s">
        <v>7</v>
      </c>
      <c r="G9" s="92" t="s">
        <v>25</v>
      </c>
      <c r="H9" s="92" t="s">
        <v>26</v>
      </c>
      <c r="I9" s="92" t="s">
        <v>31</v>
      </c>
      <c r="J9" s="91" t="s">
        <v>8</v>
      </c>
      <c r="K9" s="92" t="s">
        <v>25</v>
      </c>
      <c r="L9" s="92" t="s">
        <v>26</v>
      </c>
      <c r="M9" s="92" t="s">
        <v>31</v>
      </c>
      <c r="N9" s="91" t="s">
        <v>9</v>
      </c>
      <c r="O9" s="92" t="s">
        <v>25</v>
      </c>
      <c r="P9" s="92" t="s">
        <v>26</v>
      </c>
      <c r="Q9" s="92" t="s">
        <v>31</v>
      </c>
      <c r="R9" s="91" t="s">
        <v>10</v>
      </c>
      <c r="S9" s="92" t="s">
        <v>25</v>
      </c>
      <c r="T9" s="92" t="s">
        <v>26</v>
      </c>
      <c r="U9" s="92" t="s">
        <v>31</v>
      </c>
      <c r="V9" s="91" t="s">
        <v>11</v>
      </c>
      <c r="W9" s="92" t="s">
        <v>25</v>
      </c>
      <c r="X9" s="92" t="s">
        <v>26</v>
      </c>
      <c r="Y9" s="92" t="s">
        <v>31</v>
      </c>
      <c r="Z9" s="91" t="s">
        <v>12</v>
      </c>
      <c r="AA9" s="92" t="s">
        <v>25</v>
      </c>
      <c r="AB9" s="92" t="s">
        <v>26</v>
      </c>
      <c r="AC9" s="92" t="s">
        <v>31</v>
      </c>
      <c r="AD9" s="91" t="s">
        <v>13</v>
      </c>
      <c r="AE9" s="92" t="s">
        <v>22</v>
      </c>
      <c r="AF9" s="92" t="s">
        <v>21</v>
      </c>
      <c r="AG9" s="93" t="s">
        <v>31</v>
      </c>
      <c r="AH9" s="93" t="s">
        <v>29</v>
      </c>
      <c r="AI9" s="93" t="s">
        <v>30</v>
      </c>
      <c r="AJ9" s="151"/>
      <c r="AK9" s="151"/>
      <c r="AL9" s="151"/>
      <c r="AM9" s="156"/>
      <c r="AN9" s="156"/>
      <c r="AO9" s="159"/>
      <c r="AP9" s="159"/>
      <c r="AQ9" s="159"/>
      <c r="AR9" s="161"/>
      <c r="AS9" s="14"/>
      <c r="AT9" s="14"/>
      <c r="AU9" s="14"/>
      <c r="AV9" s="14"/>
      <c r="BS9" s="8"/>
      <c r="BT9" s="8"/>
      <c r="BU9" s="8"/>
      <c r="BV9" s="8"/>
      <c r="BW9" s="8"/>
      <c r="BX9" s="8"/>
      <c r="BY9" s="8"/>
      <c r="BZ9" s="8"/>
      <c r="CA9" s="8"/>
    </row>
    <row r="10" spans="1:80" s="97" customFormat="1" ht="60.75" customHeight="1" x14ac:dyDescent="0.25">
      <c r="A10" s="94">
        <v>1</v>
      </c>
      <c r="B10" s="95">
        <v>2</v>
      </c>
      <c r="C10" s="95">
        <v>3</v>
      </c>
      <c r="D10" s="94">
        <v>4</v>
      </c>
      <c r="E10" s="95">
        <v>5</v>
      </c>
      <c r="F10" s="94">
        <v>6</v>
      </c>
      <c r="G10" s="95">
        <v>7</v>
      </c>
      <c r="H10" s="94">
        <v>8</v>
      </c>
      <c r="I10" s="95" t="s">
        <v>317</v>
      </c>
      <c r="J10" s="94">
        <v>10</v>
      </c>
      <c r="K10" s="95">
        <v>11</v>
      </c>
      <c r="L10" s="94">
        <v>12</v>
      </c>
      <c r="M10" s="95" t="s">
        <v>318</v>
      </c>
      <c r="N10" s="94">
        <v>14</v>
      </c>
      <c r="O10" s="95">
        <v>15</v>
      </c>
      <c r="P10" s="94">
        <v>16</v>
      </c>
      <c r="Q10" s="95" t="s">
        <v>319</v>
      </c>
      <c r="R10" s="94">
        <v>18</v>
      </c>
      <c r="S10" s="95">
        <v>19</v>
      </c>
      <c r="T10" s="94">
        <v>20</v>
      </c>
      <c r="U10" s="95" t="s">
        <v>320</v>
      </c>
      <c r="V10" s="94">
        <v>22</v>
      </c>
      <c r="W10" s="95">
        <v>23</v>
      </c>
      <c r="X10" s="94">
        <v>24</v>
      </c>
      <c r="Y10" s="95" t="s">
        <v>321</v>
      </c>
      <c r="Z10" s="94">
        <v>26</v>
      </c>
      <c r="AA10" s="95">
        <v>27</v>
      </c>
      <c r="AB10" s="94">
        <v>28</v>
      </c>
      <c r="AC10" s="95" t="s">
        <v>322</v>
      </c>
      <c r="AD10" s="94">
        <v>30</v>
      </c>
      <c r="AE10" s="95">
        <v>31</v>
      </c>
      <c r="AF10" s="94">
        <v>32</v>
      </c>
      <c r="AG10" s="95" t="s">
        <v>323</v>
      </c>
      <c r="AH10" s="94">
        <v>34</v>
      </c>
      <c r="AI10" s="95" t="s">
        <v>324</v>
      </c>
      <c r="AJ10" s="94">
        <v>36</v>
      </c>
      <c r="AK10" s="95">
        <v>37</v>
      </c>
      <c r="AL10" s="94">
        <v>38</v>
      </c>
      <c r="AM10" s="95">
        <v>39</v>
      </c>
      <c r="AN10" s="94">
        <v>40</v>
      </c>
      <c r="AO10" s="95" t="s">
        <v>325</v>
      </c>
      <c r="AP10" s="94" t="s">
        <v>326</v>
      </c>
      <c r="AQ10" s="95" t="s">
        <v>327</v>
      </c>
      <c r="AR10" s="96" t="s">
        <v>328</v>
      </c>
      <c r="AS10" s="14"/>
      <c r="AT10" s="14"/>
      <c r="AU10" s="14"/>
      <c r="AV10" s="14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116"/>
    </row>
    <row r="11" spans="1:80" s="51" customFormat="1" ht="43.5" customHeight="1" x14ac:dyDescent="0.35">
      <c r="A11" s="147" t="s">
        <v>45</v>
      </c>
      <c r="B11" s="148"/>
      <c r="C11" s="148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3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V11" s="50"/>
      <c r="BW11" s="50"/>
      <c r="BX11" s="50"/>
      <c r="BY11" s="50"/>
      <c r="BZ11" s="50"/>
      <c r="CA11" s="50"/>
    </row>
    <row r="12" spans="1:80" s="4" customFormat="1" ht="64.5" customHeight="1" outlineLevel="1" x14ac:dyDescent="0.25">
      <c r="A12" s="25">
        <v>1</v>
      </c>
      <c r="B12" s="26" t="s">
        <v>15</v>
      </c>
      <c r="C12" s="27" t="s">
        <v>35</v>
      </c>
      <c r="D12" s="28" t="s">
        <v>18</v>
      </c>
      <c r="E12" s="29">
        <f>F12+J12+N12+R12+V12+Z12+AD12</f>
        <v>401.3</v>
      </c>
      <c r="F12" s="29">
        <v>0</v>
      </c>
      <c r="G12" s="30">
        <f>H12/1.18</f>
        <v>0</v>
      </c>
      <c r="H12" s="30"/>
      <c r="I12" s="30">
        <f>H12*F12</f>
        <v>0</v>
      </c>
      <c r="J12" s="31">
        <f>177.2+112.3</f>
        <v>289.5</v>
      </c>
      <c r="K12" s="30">
        <f>L12/1.18</f>
        <v>0</v>
      </c>
      <c r="L12" s="30"/>
      <c r="M12" s="30">
        <f>L12*J12</f>
        <v>0</v>
      </c>
      <c r="N12" s="29">
        <v>0</v>
      </c>
      <c r="O12" s="30">
        <f>P12/1.18</f>
        <v>0</v>
      </c>
      <c r="P12" s="30"/>
      <c r="Q12" s="30">
        <f>P12*N12</f>
        <v>0</v>
      </c>
      <c r="R12" s="30">
        <v>0</v>
      </c>
      <c r="S12" s="30">
        <f>T12/1.18</f>
        <v>0</v>
      </c>
      <c r="T12" s="30"/>
      <c r="U12" s="30">
        <f>T12*R12</f>
        <v>0</v>
      </c>
      <c r="V12" s="29">
        <f>20.1+17.6+33.4+17.6</f>
        <v>88.699999999999989</v>
      </c>
      <c r="W12" s="30">
        <f>X12/1.18</f>
        <v>0</v>
      </c>
      <c r="X12" s="30"/>
      <c r="Y12" s="30">
        <f>X12*V12</f>
        <v>0</v>
      </c>
      <c r="Z12" s="31">
        <v>0</v>
      </c>
      <c r="AA12" s="30">
        <f>AB12/1.18</f>
        <v>0</v>
      </c>
      <c r="AB12" s="30"/>
      <c r="AC12" s="30">
        <f>AB12*Z12</f>
        <v>0</v>
      </c>
      <c r="AD12" s="31">
        <f>9+14.1</f>
        <v>23.1</v>
      </c>
      <c r="AE12" s="30">
        <f>AF12/1.18</f>
        <v>0</v>
      </c>
      <c r="AF12" s="30"/>
      <c r="AG12" s="30">
        <f>AF12*AD12</f>
        <v>0</v>
      </c>
      <c r="AH12" s="30">
        <f>AI12/1.18</f>
        <v>0</v>
      </c>
      <c r="AI12" s="30">
        <f>I12+M12+Q12+U12+Y12+AC12+AG12</f>
        <v>0</v>
      </c>
      <c r="AJ12" s="31">
        <v>484.6</v>
      </c>
      <c r="AK12" s="30" t="s">
        <v>314</v>
      </c>
      <c r="AL12" s="32">
        <v>0</v>
      </c>
      <c r="AM12" s="32">
        <f>AN12/1.18</f>
        <v>0</v>
      </c>
      <c r="AN12" s="32"/>
      <c r="AO12" s="32">
        <f>AM12*AJ12</f>
        <v>0</v>
      </c>
      <c r="AP12" s="32">
        <f>AN12*AJ12</f>
        <v>0</v>
      </c>
      <c r="AQ12" s="33">
        <f t="shared" ref="AQ12:AQ75" si="0">AH12+AO12</f>
        <v>0</v>
      </c>
      <c r="AR12" s="82">
        <f t="shared" ref="AR12:AR75" si="1">AI12+AP12</f>
        <v>0</v>
      </c>
      <c r="AS12" s="9"/>
      <c r="AT12" s="9"/>
      <c r="AU12" s="9"/>
      <c r="AV12" s="9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</row>
    <row r="13" spans="1:80" s="4" customFormat="1" ht="64.5" customHeight="1" outlineLevel="1" x14ac:dyDescent="0.25">
      <c r="A13" s="25">
        <f>A12+1</f>
        <v>2</v>
      </c>
      <c r="B13" s="26" t="s">
        <v>15</v>
      </c>
      <c r="C13" s="27" t="s">
        <v>66</v>
      </c>
      <c r="D13" s="28" t="s">
        <v>18</v>
      </c>
      <c r="E13" s="29">
        <f t="shared" ref="E13:E76" si="2">F13+J13+N13+R13+V13+Z13+AD13</f>
        <v>1660.4100000000003</v>
      </c>
      <c r="F13" s="29">
        <v>508.81</v>
      </c>
      <c r="G13" s="30">
        <f t="shared" ref="G13:G71" si="3">H13/1.18</f>
        <v>0</v>
      </c>
      <c r="H13" s="30"/>
      <c r="I13" s="30">
        <f t="shared" ref="I13:I73" si="4">H13*F13</f>
        <v>0</v>
      </c>
      <c r="J13" s="31">
        <v>429.6</v>
      </c>
      <c r="K13" s="30">
        <f t="shared" ref="K13:K73" si="5">L13/1.18</f>
        <v>0</v>
      </c>
      <c r="L13" s="30"/>
      <c r="M13" s="30">
        <f t="shared" ref="M13:M73" si="6">L13*J13</f>
        <v>0</v>
      </c>
      <c r="N13" s="29">
        <v>0</v>
      </c>
      <c r="O13" s="30">
        <f t="shared" ref="O13:O73" si="7">P13/1.18</f>
        <v>0</v>
      </c>
      <c r="P13" s="30"/>
      <c r="Q13" s="30">
        <f t="shared" ref="Q13:Q73" si="8">P13*N13</f>
        <v>0</v>
      </c>
      <c r="R13" s="30">
        <v>0</v>
      </c>
      <c r="S13" s="30">
        <f>T13/1.18</f>
        <v>0</v>
      </c>
      <c r="T13" s="30"/>
      <c r="U13" s="30">
        <f t="shared" ref="U13:U73" si="9">T13*R13</f>
        <v>0</v>
      </c>
      <c r="V13" s="29">
        <v>676.6</v>
      </c>
      <c r="W13" s="30">
        <f t="shared" ref="W13:W14" si="10">X13/1.18</f>
        <v>0</v>
      </c>
      <c r="X13" s="30"/>
      <c r="Y13" s="30">
        <f t="shared" ref="Y13:Y73" si="11">X13*V13</f>
        <v>0</v>
      </c>
      <c r="Z13" s="31">
        <v>0</v>
      </c>
      <c r="AA13" s="30">
        <f t="shared" ref="AA13:AA73" si="12">AB13/1.18</f>
        <v>0</v>
      </c>
      <c r="AB13" s="30"/>
      <c r="AC13" s="30">
        <f t="shared" ref="AC13:AC73" si="13">AB13*Z13</f>
        <v>0</v>
      </c>
      <c r="AD13" s="31">
        <f>5+20.8+19.6</f>
        <v>45.400000000000006</v>
      </c>
      <c r="AE13" s="30">
        <f t="shared" ref="AE13:AE73" si="14">AF13/1.18</f>
        <v>0</v>
      </c>
      <c r="AF13" s="30"/>
      <c r="AG13" s="30">
        <f t="shared" ref="AG13:AG73" si="15">AF13*AD13</f>
        <v>0</v>
      </c>
      <c r="AH13" s="30">
        <f t="shared" ref="AH13:AH76" si="16">AI13/1.18</f>
        <v>0</v>
      </c>
      <c r="AI13" s="30">
        <f t="shared" ref="AI13:AI28" si="17">I13+M13+Q13+U13+Y13+AC13+AG13</f>
        <v>0</v>
      </c>
      <c r="AJ13" s="31">
        <f>1901.6</f>
        <v>1901.6</v>
      </c>
      <c r="AK13" s="30" t="s">
        <v>314</v>
      </c>
      <c r="AL13" s="32">
        <v>0</v>
      </c>
      <c r="AM13" s="32">
        <f t="shared" ref="AM13:AM46" si="18">AN13/1.18</f>
        <v>0</v>
      </c>
      <c r="AN13" s="32"/>
      <c r="AO13" s="32">
        <f>AM13*AJ13</f>
        <v>0</v>
      </c>
      <c r="AP13" s="32">
        <f t="shared" ref="AP13:AP73" si="19">AN13*AJ13</f>
        <v>0</v>
      </c>
      <c r="AQ13" s="33">
        <f t="shared" si="0"/>
        <v>0</v>
      </c>
      <c r="AR13" s="82">
        <f t="shared" si="1"/>
        <v>0</v>
      </c>
      <c r="AS13" s="9"/>
      <c r="AT13" s="9"/>
      <c r="AU13" s="9"/>
      <c r="AV13" s="9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</row>
    <row r="14" spans="1:80" s="62" customFormat="1" ht="64.5" customHeight="1" outlineLevel="1" x14ac:dyDescent="0.25">
      <c r="A14" s="25">
        <f>A13+1</f>
        <v>3</v>
      </c>
      <c r="B14" s="26" t="s">
        <v>15</v>
      </c>
      <c r="C14" s="27" t="s">
        <v>36</v>
      </c>
      <c r="D14" s="28" t="s">
        <v>18</v>
      </c>
      <c r="E14" s="29">
        <f t="shared" si="2"/>
        <v>710.30000000000007</v>
      </c>
      <c r="F14" s="29">
        <f>117.3+197.3</f>
        <v>314.60000000000002</v>
      </c>
      <c r="G14" s="30">
        <f t="shared" si="3"/>
        <v>0</v>
      </c>
      <c r="H14" s="30"/>
      <c r="I14" s="30">
        <f t="shared" si="4"/>
        <v>0</v>
      </c>
      <c r="J14" s="31">
        <v>0</v>
      </c>
      <c r="K14" s="30">
        <f t="shared" si="5"/>
        <v>0</v>
      </c>
      <c r="L14" s="30"/>
      <c r="M14" s="30">
        <f t="shared" si="6"/>
        <v>0</v>
      </c>
      <c r="N14" s="29">
        <v>0</v>
      </c>
      <c r="O14" s="30">
        <f t="shared" si="7"/>
        <v>0</v>
      </c>
      <c r="P14" s="30"/>
      <c r="Q14" s="30">
        <f t="shared" si="8"/>
        <v>0</v>
      </c>
      <c r="R14" s="30">
        <v>73.7</v>
      </c>
      <c r="S14" s="30">
        <f>T14/1.18</f>
        <v>0</v>
      </c>
      <c r="T14" s="30"/>
      <c r="U14" s="30">
        <f t="shared" si="9"/>
        <v>0</v>
      </c>
      <c r="V14" s="29">
        <f>25+21.8+44.4+25.7+48</f>
        <v>164.89999999999998</v>
      </c>
      <c r="W14" s="30">
        <f t="shared" si="10"/>
        <v>0</v>
      </c>
      <c r="X14" s="30"/>
      <c r="Y14" s="30">
        <f t="shared" si="11"/>
        <v>0</v>
      </c>
      <c r="Z14" s="31">
        <f>29+20.7+74.4</f>
        <v>124.10000000000001</v>
      </c>
      <c r="AA14" s="30">
        <f t="shared" si="12"/>
        <v>0</v>
      </c>
      <c r="AB14" s="30"/>
      <c r="AC14" s="30">
        <f t="shared" si="13"/>
        <v>0</v>
      </c>
      <c r="AD14" s="31">
        <f>26+7</f>
        <v>33</v>
      </c>
      <c r="AE14" s="30">
        <f t="shared" si="14"/>
        <v>0</v>
      </c>
      <c r="AF14" s="30"/>
      <c r="AG14" s="30">
        <f t="shared" si="15"/>
        <v>0</v>
      </c>
      <c r="AH14" s="30">
        <f t="shared" si="16"/>
        <v>0</v>
      </c>
      <c r="AI14" s="30">
        <f t="shared" si="17"/>
        <v>0</v>
      </c>
      <c r="AJ14" s="31">
        <v>0</v>
      </c>
      <c r="AK14" s="30" t="s">
        <v>314</v>
      </c>
      <c r="AL14" s="32">
        <v>0</v>
      </c>
      <c r="AM14" s="32">
        <f t="shared" si="18"/>
        <v>0</v>
      </c>
      <c r="AN14" s="32"/>
      <c r="AO14" s="32">
        <f t="shared" ref="AO14" si="20">AM14*AJ14</f>
        <v>0</v>
      </c>
      <c r="AP14" s="32">
        <f t="shared" si="19"/>
        <v>0</v>
      </c>
      <c r="AQ14" s="33">
        <f t="shared" si="0"/>
        <v>0</v>
      </c>
      <c r="AR14" s="82">
        <f t="shared" si="1"/>
        <v>0</v>
      </c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</row>
    <row r="15" spans="1:80" s="4" customFormat="1" ht="64.5" customHeight="1" outlineLevel="1" x14ac:dyDescent="0.25">
      <c r="A15" s="25">
        <f>A14+1</f>
        <v>4</v>
      </c>
      <c r="B15" s="26" t="s">
        <v>15</v>
      </c>
      <c r="C15" s="27" t="s">
        <v>37</v>
      </c>
      <c r="D15" s="28" t="s">
        <v>18</v>
      </c>
      <c r="E15" s="29">
        <f t="shared" si="2"/>
        <v>2832.0400000000004</v>
      </c>
      <c r="F15" s="29">
        <v>1065.5999999999999</v>
      </c>
      <c r="G15" s="30">
        <f t="shared" si="3"/>
        <v>0</v>
      </c>
      <c r="H15" s="30"/>
      <c r="I15" s="30">
        <f t="shared" si="4"/>
        <v>0</v>
      </c>
      <c r="J15" s="31">
        <v>1133.5999999999999</v>
      </c>
      <c r="K15" s="30">
        <f t="shared" si="5"/>
        <v>0</v>
      </c>
      <c r="L15" s="30"/>
      <c r="M15" s="30">
        <f t="shared" si="6"/>
        <v>0</v>
      </c>
      <c r="N15" s="29">
        <v>0</v>
      </c>
      <c r="O15" s="30">
        <f t="shared" si="7"/>
        <v>0</v>
      </c>
      <c r="P15" s="30"/>
      <c r="Q15" s="30">
        <f t="shared" si="8"/>
        <v>0</v>
      </c>
      <c r="R15" s="30">
        <v>213.9</v>
      </c>
      <c r="S15" s="30">
        <f>T15/1.18</f>
        <v>0</v>
      </c>
      <c r="T15" s="30"/>
      <c r="U15" s="30">
        <f t="shared" si="9"/>
        <v>0</v>
      </c>
      <c r="V15" s="29">
        <v>362.74</v>
      </c>
      <c r="W15" s="30">
        <f t="shared" ref="W15:W73" si="21">X15/1.18</f>
        <v>0</v>
      </c>
      <c r="X15" s="30"/>
      <c r="Y15" s="30">
        <f t="shared" si="11"/>
        <v>0</v>
      </c>
      <c r="Z15" s="31">
        <v>19.3</v>
      </c>
      <c r="AA15" s="30">
        <f t="shared" si="12"/>
        <v>0</v>
      </c>
      <c r="AB15" s="30"/>
      <c r="AC15" s="30">
        <f t="shared" si="13"/>
        <v>0</v>
      </c>
      <c r="AD15" s="31">
        <v>36.9</v>
      </c>
      <c r="AE15" s="30">
        <f t="shared" si="14"/>
        <v>0</v>
      </c>
      <c r="AF15" s="30"/>
      <c r="AG15" s="30">
        <f t="shared" si="15"/>
        <v>0</v>
      </c>
      <c r="AH15" s="30">
        <f t="shared" si="16"/>
        <v>0</v>
      </c>
      <c r="AI15" s="30">
        <f t="shared" si="17"/>
        <v>0</v>
      </c>
      <c r="AJ15" s="31">
        <f>1733.2</f>
        <v>1733.2</v>
      </c>
      <c r="AK15" s="30" t="s">
        <v>314</v>
      </c>
      <c r="AL15" s="32">
        <v>0</v>
      </c>
      <c r="AM15" s="32">
        <f t="shared" si="18"/>
        <v>0</v>
      </c>
      <c r="AN15" s="32"/>
      <c r="AO15" s="32">
        <f t="shared" ref="AO15:AO74" si="22">AM15*AJ15</f>
        <v>0</v>
      </c>
      <c r="AP15" s="32">
        <f t="shared" si="19"/>
        <v>0</v>
      </c>
      <c r="AQ15" s="33">
        <f t="shared" si="0"/>
        <v>0</v>
      </c>
      <c r="AR15" s="82">
        <f t="shared" si="1"/>
        <v>0</v>
      </c>
      <c r="AS15" s="9"/>
      <c r="AT15" s="9"/>
      <c r="AU15" s="9"/>
      <c r="AV15" s="9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s="4" customFormat="1" ht="64.5" customHeight="1" outlineLevel="1" x14ac:dyDescent="0.25">
      <c r="A16" s="25">
        <f t="shared" ref="A16:A28" si="23">A15+1</f>
        <v>5</v>
      </c>
      <c r="B16" s="26" t="s">
        <v>15</v>
      </c>
      <c r="C16" s="27" t="s">
        <v>47</v>
      </c>
      <c r="D16" s="28" t="s">
        <v>18</v>
      </c>
      <c r="E16" s="29">
        <f t="shared" si="2"/>
        <v>4389.8999999999996</v>
      </c>
      <c r="F16" s="29">
        <v>2641</v>
      </c>
      <c r="G16" s="30">
        <f t="shared" si="3"/>
        <v>0</v>
      </c>
      <c r="H16" s="30"/>
      <c r="I16" s="30">
        <f t="shared" si="4"/>
        <v>0</v>
      </c>
      <c r="J16" s="31">
        <v>814.1</v>
      </c>
      <c r="K16" s="30">
        <f t="shared" si="5"/>
        <v>0</v>
      </c>
      <c r="L16" s="30"/>
      <c r="M16" s="30">
        <f t="shared" si="6"/>
        <v>0</v>
      </c>
      <c r="N16" s="29">
        <v>0</v>
      </c>
      <c r="O16" s="30">
        <f t="shared" si="7"/>
        <v>0</v>
      </c>
      <c r="P16" s="30"/>
      <c r="Q16" s="30">
        <f t="shared" si="8"/>
        <v>0</v>
      </c>
      <c r="R16" s="30">
        <v>0</v>
      </c>
      <c r="S16" s="30">
        <f t="shared" ref="S16" si="24">T16/1.18</f>
        <v>0</v>
      </c>
      <c r="T16" s="30"/>
      <c r="U16" s="30">
        <f t="shared" si="9"/>
        <v>0</v>
      </c>
      <c r="V16" s="29">
        <f>157.6+26+324+324</f>
        <v>831.6</v>
      </c>
      <c r="W16" s="30">
        <f t="shared" si="21"/>
        <v>0</v>
      </c>
      <c r="X16" s="30"/>
      <c r="Y16" s="30">
        <f t="shared" si="11"/>
        <v>0</v>
      </c>
      <c r="Z16" s="31">
        <v>18</v>
      </c>
      <c r="AA16" s="30">
        <f t="shared" si="12"/>
        <v>0</v>
      </c>
      <c r="AB16" s="30"/>
      <c r="AC16" s="30">
        <f t="shared" si="13"/>
        <v>0</v>
      </c>
      <c r="AD16" s="31">
        <f>13.2+72</f>
        <v>85.2</v>
      </c>
      <c r="AE16" s="30">
        <f t="shared" si="14"/>
        <v>0</v>
      </c>
      <c r="AF16" s="30"/>
      <c r="AG16" s="30">
        <f t="shared" si="15"/>
        <v>0</v>
      </c>
      <c r="AH16" s="30">
        <f t="shared" si="16"/>
        <v>0</v>
      </c>
      <c r="AI16" s="30">
        <f t="shared" si="17"/>
        <v>0</v>
      </c>
      <c r="AJ16" s="31">
        <v>1700</v>
      </c>
      <c r="AK16" s="30" t="s">
        <v>314</v>
      </c>
      <c r="AL16" s="32">
        <v>0</v>
      </c>
      <c r="AM16" s="32">
        <f t="shared" si="18"/>
        <v>0</v>
      </c>
      <c r="AN16" s="32"/>
      <c r="AO16" s="32">
        <f t="shared" si="22"/>
        <v>0</v>
      </c>
      <c r="AP16" s="32">
        <f t="shared" si="19"/>
        <v>0</v>
      </c>
      <c r="AQ16" s="33">
        <f t="shared" si="0"/>
        <v>0</v>
      </c>
      <c r="AR16" s="82">
        <f t="shared" si="1"/>
        <v>0</v>
      </c>
      <c r="AS16" s="9"/>
      <c r="AT16" s="9"/>
      <c r="AU16" s="9"/>
      <c r="AV16" s="9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5" s="4" customFormat="1" ht="64.5" customHeight="1" outlineLevel="1" x14ac:dyDescent="0.25">
      <c r="A17" s="25">
        <f t="shared" si="23"/>
        <v>6</v>
      </c>
      <c r="B17" s="26" t="s">
        <v>15</v>
      </c>
      <c r="C17" s="27" t="s">
        <v>38</v>
      </c>
      <c r="D17" s="28" t="s">
        <v>18</v>
      </c>
      <c r="E17" s="29">
        <f t="shared" si="2"/>
        <v>5230.2</v>
      </c>
      <c r="F17" s="29">
        <v>2175</v>
      </c>
      <c r="G17" s="30">
        <f t="shared" si="3"/>
        <v>0</v>
      </c>
      <c r="H17" s="30"/>
      <c r="I17" s="30">
        <f t="shared" si="4"/>
        <v>0</v>
      </c>
      <c r="J17" s="31">
        <v>628.20000000000005</v>
      </c>
      <c r="K17" s="30">
        <f t="shared" si="5"/>
        <v>0</v>
      </c>
      <c r="L17" s="30"/>
      <c r="M17" s="30">
        <f t="shared" si="6"/>
        <v>0</v>
      </c>
      <c r="N17" s="29">
        <v>0</v>
      </c>
      <c r="O17" s="30">
        <f t="shared" si="7"/>
        <v>0</v>
      </c>
      <c r="P17" s="30"/>
      <c r="Q17" s="30">
        <f t="shared" si="8"/>
        <v>0</v>
      </c>
      <c r="R17" s="30">
        <v>488</v>
      </c>
      <c r="S17" s="30">
        <v>4.2</v>
      </c>
      <c r="T17" s="30"/>
      <c r="U17" s="30">
        <f t="shared" si="9"/>
        <v>0</v>
      </c>
      <c r="V17" s="29">
        <v>1784.7</v>
      </c>
      <c r="W17" s="30">
        <f t="shared" si="21"/>
        <v>0</v>
      </c>
      <c r="X17" s="30"/>
      <c r="Y17" s="30">
        <f t="shared" si="11"/>
        <v>0</v>
      </c>
      <c r="Z17" s="31">
        <v>9</v>
      </c>
      <c r="AA17" s="30">
        <f t="shared" si="12"/>
        <v>0</v>
      </c>
      <c r="AB17" s="30"/>
      <c r="AC17" s="30">
        <f t="shared" si="13"/>
        <v>0</v>
      </c>
      <c r="AD17" s="31">
        <v>145.30000000000001</v>
      </c>
      <c r="AE17" s="30">
        <f t="shared" si="14"/>
        <v>0</v>
      </c>
      <c r="AF17" s="30"/>
      <c r="AG17" s="30">
        <f t="shared" si="15"/>
        <v>0</v>
      </c>
      <c r="AH17" s="30">
        <f t="shared" si="16"/>
        <v>0</v>
      </c>
      <c r="AI17" s="30">
        <f t="shared" si="17"/>
        <v>0</v>
      </c>
      <c r="AJ17" s="31">
        <v>3950</v>
      </c>
      <c r="AK17" s="30" t="s">
        <v>314</v>
      </c>
      <c r="AL17" s="32">
        <v>0</v>
      </c>
      <c r="AM17" s="32">
        <f t="shared" si="18"/>
        <v>0</v>
      </c>
      <c r="AN17" s="32"/>
      <c r="AO17" s="32">
        <f t="shared" si="22"/>
        <v>0</v>
      </c>
      <c r="AP17" s="32">
        <f t="shared" si="19"/>
        <v>0</v>
      </c>
      <c r="AQ17" s="33">
        <f t="shared" si="0"/>
        <v>0</v>
      </c>
      <c r="AR17" s="82">
        <f t="shared" si="1"/>
        <v>0</v>
      </c>
      <c r="AS17" s="9"/>
      <c r="AT17" s="9"/>
      <c r="AU17" s="9"/>
      <c r="AV17" s="9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5" s="62" customFormat="1" ht="64.5" customHeight="1" outlineLevel="1" x14ac:dyDescent="0.25">
      <c r="A18" s="25">
        <f t="shared" si="23"/>
        <v>7</v>
      </c>
      <c r="B18" s="26" t="s">
        <v>15</v>
      </c>
      <c r="C18" s="27" t="s">
        <v>295</v>
      </c>
      <c r="D18" s="28" t="s">
        <v>18</v>
      </c>
      <c r="E18" s="29">
        <f t="shared" si="2"/>
        <v>5640.6</v>
      </c>
      <c r="F18" s="29">
        <f>282.3+337.8+294.4+187.1+742.4+256.4</f>
        <v>2100.4</v>
      </c>
      <c r="G18" s="30">
        <f t="shared" si="3"/>
        <v>0</v>
      </c>
      <c r="H18" s="30"/>
      <c r="I18" s="30">
        <f t="shared" si="4"/>
        <v>0</v>
      </c>
      <c r="J18" s="31">
        <f>162.5+181.1+29.9+45.9</f>
        <v>419.4</v>
      </c>
      <c r="K18" s="30">
        <f t="shared" si="5"/>
        <v>0</v>
      </c>
      <c r="L18" s="30"/>
      <c r="M18" s="30">
        <f t="shared" si="6"/>
        <v>0</v>
      </c>
      <c r="N18" s="29">
        <v>0</v>
      </c>
      <c r="O18" s="30">
        <f t="shared" si="7"/>
        <v>0</v>
      </c>
      <c r="P18" s="30"/>
      <c r="Q18" s="30">
        <f t="shared" si="8"/>
        <v>0</v>
      </c>
      <c r="R18" s="30">
        <f>49.7+45+34.3</f>
        <v>129</v>
      </c>
      <c r="S18" s="30">
        <v>4.2</v>
      </c>
      <c r="T18" s="30"/>
      <c r="U18" s="30">
        <f t="shared" si="9"/>
        <v>0</v>
      </c>
      <c r="V18" s="29">
        <f>196.6+6.5+184.7+26.2+50.9+26.4+600.4+149.5+397.2+26.4+38.2+26.4+24.8+26.4+250</f>
        <v>2030.6000000000001</v>
      </c>
      <c r="W18" s="30">
        <f t="shared" si="21"/>
        <v>0</v>
      </c>
      <c r="X18" s="30"/>
      <c r="Y18" s="30">
        <f t="shared" si="11"/>
        <v>0</v>
      </c>
      <c r="Z18" s="31">
        <f>866.9</f>
        <v>866.9</v>
      </c>
      <c r="AA18" s="30">
        <f t="shared" si="12"/>
        <v>0</v>
      </c>
      <c r="AB18" s="30"/>
      <c r="AC18" s="30">
        <f t="shared" si="13"/>
        <v>0</v>
      </c>
      <c r="AD18" s="31">
        <f>25.8+12+12.2+11.5+11.8+21</f>
        <v>94.3</v>
      </c>
      <c r="AE18" s="30">
        <f t="shared" si="14"/>
        <v>0</v>
      </c>
      <c r="AF18" s="30"/>
      <c r="AG18" s="30">
        <f t="shared" si="15"/>
        <v>0</v>
      </c>
      <c r="AH18" s="30">
        <f t="shared" si="16"/>
        <v>0</v>
      </c>
      <c r="AI18" s="30">
        <f t="shared" si="17"/>
        <v>0</v>
      </c>
      <c r="AJ18" s="31">
        <v>2625</v>
      </c>
      <c r="AK18" s="30" t="s">
        <v>314</v>
      </c>
      <c r="AL18" s="32">
        <v>0</v>
      </c>
      <c r="AM18" s="32">
        <f t="shared" si="18"/>
        <v>0</v>
      </c>
      <c r="AN18" s="32"/>
      <c r="AO18" s="32">
        <f t="shared" si="22"/>
        <v>0</v>
      </c>
      <c r="AP18" s="32">
        <f t="shared" si="19"/>
        <v>0</v>
      </c>
      <c r="AQ18" s="33">
        <f t="shared" si="0"/>
        <v>0</v>
      </c>
      <c r="AR18" s="82">
        <f t="shared" si="1"/>
        <v>0</v>
      </c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5" s="4" customFormat="1" ht="64.5" customHeight="1" outlineLevel="1" x14ac:dyDescent="0.25">
      <c r="A19" s="25">
        <f t="shared" si="23"/>
        <v>8</v>
      </c>
      <c r="B19" s="26" t="s">
        <v>15</v>
      </c>
      <c r="C19" s="27" t="s">
        <v>296</v>
      </c>
      <c r="D19" s="28" t="s">
        <v>18</v>
      </c>
      <c r="E19" s="29">
        <f t="shared" si="2"/>
        <v>4899.6499999999996</v>
      </c>
      <c r="F19" s="29">
        <f>118.75+531.6+577.7+644.5+757.7+87.5</f>
        <v>2717.75</v>
      </c>
      <c r="G19" s="30">
        <f t="shared" si="3"/>
        <v>0</v>
      </c>
      <c r="H19" s="30"/>
      <c r="I19" s="30">
        <f t="shared" si="4"/>
        <v>0</v>
      </c>
      <c r="J19" s="31">
        <f>82.7+29.3+46+163.6+42.2+84.9</f>
        <v>448.70000000000005</v>
      </c>
      <c r="K19" s="30">
        <f t="shared" si="5"/>
        <v>0</v>
      </c>
      <c r="L19" s="30"/>
      <c r="M19" s="30">
        <f t="shared" si="6"/>
        <v>0</v>
      </c>
      <c r="N19" s="29">
        <v>0</v>
      </c>
      <c r="O19" s="30">
        <f t="shared" si="7"/>
        <v>0</v>
      </c>
      <c r="P19" s="30"/>
      <c r="Q19" s="30">
        <f t="shared" si="8"/>
        <v>0</v>
      </c>
      <c r="R19" s="30">
        <v>0</v>
      </c>
      <c r="S19" s="30">
        <f t="shared" ref="S19:S20" si="25">T19/1.18</f>
        <v>0</v>
      </c>
      <c r="T19" s="30"/>
      <c r="U19" s="30">
        <f t="shared" si="9"/>
        <v>0</v>
      </c>
      <c r="V19" s="29">
        <f>30.2+82.9+274.5+25.9+106+21+189.2+104.3+191.5+47.5+200.3+47.5+195.5+47.5+36.6</f>
        <v>1600.3999999999999</v>
      </c>
      <c r="W19" s="30">
        <f t="shared" si="21"/>
        <v>0</v>
      </c>
      <c r="X19" s="30"/>
      <c r="Y19" s="30">
        <f t="shared" si="11"/>
        <v>0</v>
      </c>
      <c r="Z19" s="31">
        <f>20.2</f>
        <v>20.2</v>
      </c>
      <c r="AA19" s="30">
        <f t="shared" si="12"/>
        <v>0</v>
      </c>
      <c r="AB19" s="30"/>
      <c r="AC19" s="30">
        <f t="shared" si="13"/>
        <v>0</v>
      </c>
      <c r="AD19" s="31">
        <f>5.2+21.2+20.7+32.3+33.2</f>
        <v>112.6</v>
      </c>
      <c r="AE19" s="30">
        <f t="shared" si="14"/>
        <v>0</v>
      </c>
      <c r="AF19" s="30"/>
      <c r="AG19" s="30">
        <f t="shared" si="15"/>
        <v>0</v>
      </c>
      <c r="AH19" s="30">
        <f t="shared" si="16"/>
        <v>0</v>
      </c>
      <c r="AI19" s="30">
        <f t="shared" si="17"/>
        <v>0</v>
      </c>
      <c r="AJ19" s="31">
        <v>0</v>
      </c>
      <c r="AK19" s="30" t="s">
        <v>314</v>
      </c>
      <c r="AL19" s="32">
        <v>0</v>
      </c>
      <c r="AM19" s="32">
        <f t="shared" si="18"/>
        <v>0</v>
      </c>
      <c r="AN19" s="32"/>
      <c r="AO19" s="32">
        <f t="shared" si="22"/>
        <v>0</v>
      </c>
      <c r="AP19" s="32">
        <f t="shared" si="19"/>
        <v>0</v>
      </c>
      <c r="AQ19" s="33">
        <f t="shared" si="0"/>
        <v>0</v>
      </c>
      <c r="AR19" s="82">
        <f t="shared" si="1"/>
        <v>0</v>
      </c>
      <c r="AS19" s="9"/>
      <c r="AT19" s="9"/>
      <c r="AU19" s="9"/>
      <c r="AV19" s="9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5" s="62" customFormat="1" ht="64.5" customHeight="1" outlineLevel="1" x14ac:dyDescent="0.25">
      <c r="A20" s="25">
        <f t="shared" si="23"/>
        <v>9</v>
      </c>
      <c r="B20" s="26" t="s">
        <v>15</v>
      </c>
      <c r="C20" s="27" t="s">
        <v>299</v>
      </c>
      <c r="D20" s="28" t="s">
        <v>18</v>
      </c>
      <c r="E20" s="29">
        <f t="shared" si="2"/>
        <v>2056.2999999999997</v>
      </c>
      <c r="F20" s="29">
        <v>52.1</v>
      </c>
      <c r="G20" s="30">
        <f t="shared" si="3"/>
        <v>0</v>
      </c>
      <c r="H20" s="30"/>
      <c r="I20" s="30">
        <f t="shared" si="4"/>
        <v>0</v>
      </c>
      <c r="J20" s="31">
        <v>1328.5</v>
      </c>
      <c r="K20" s="30">
        <f t="shared" si="5"/>
        <v>0</v>
      </c>
      <c r="L20" s="30"/>
      <c r="M20" s="30">
        <f t="shared" si="6"/>
        <v>0</v>
      </c>
      <c r="N20" s="29">
        <v>0</v>
      </c>
      <c r="O20" s="30">
        <f t="shared" si="7"/>
        <v>0</v>
      </c>
      <c r="P20" s="30"/>
      <c r="Q20" s="30">
        <f t="shared" si="8"/>
        <v>0</v>
      </c>
      <c r="R20" s="30">
        <f>56.6</f>
        <v>56.6</v>
      </c>
      <c r="S20" s="30">
        <f t="shared" si="25"/>
        <v>0</v>
      </c>
      <c r="T20" s="30"/>
      <c r="U20" s="30">
        <f t="shared" si="9"/>
        <v>0</v>
      </c>
      <c r="V20" s="29">
        <v>593.5</v>
      </c>
      <c r="W20" s="30">
        <f t="shared" si="21"/>
        <v>0</v>
      </c>
      <c r="X20" s="30"/>
      <c r="Y20" s="30">
        <f t="shared" si="11"/>
        <v>0</v>
      </c>
      <c r="Z20" s="31">
        <v>0</v>
      </c>
      <c r="AA20" s="30">
        <f t="shared" si="12"/>
        <v>0</v>
      </c>
      <c r="AB20" s="30"/>
      <c r="AC20" s="30">
        <f t="shared" si="13"/>
        <v>0</v>
      </c>
      <c r="AD20" s="31">
        <f>6.3+9.2+10.1</f>
        <v>25.6</v>
      </c>
      <c r="AE20" s="30">
        <f t="shared" si="14"/>
        <v>0</v>
      </c>
      <c r="AF20" s="30"/>
      <c r="AG20" s="30">
        <f t="shared" si="15"/>
        <v>0</v>
      </c>
      <c r="AH20" s="30">
        <f t="shared" si="16"/>
        <v>0</v>
      </c>
      <c r="AI20" s="30">
        <f t="shared" si="17"/>
        <v>0</v>
      </c>
      <c r="AJ20" s="31">
        <v>1980</v>
      </c>
      <c r="AK20" s="30" t="s">
        <v>314</v>
      </c>
      <c r="AL20" s="32">
        <v>0</v>
      </c>
      <c r="AM20" s="32">
        <f t="shared" si="18"/>
        <v>0</v>
      </c>
      <c r="AN20" s="32"/>
      <c r="AO20" s="32">
        <f t="shared" si="22"/>
        <v>0</v>
      </c>
      <c r="AP20" s="32">
        <f t="shared" si="19"/>
        <v>0</v>
      </c>
      <c r="AQ20" s="33">
        <f t="shared" si="0"/>
        <v>0</v>
      </c>
      <c r="AR20" s="82">
        <f t="shared" si="1"/>
        <v>0</v>
      </c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5" s="4" customFormat="1" ht="64.5" customHeight="1" outlineLevel="1" x14ac:dyDescent="0.25">
      <c r="A21" s="25">
        <f t="shared" si="23"/>
        <v>10</v>
      </c>
      <c r="B21" s="26" t="s">
        <v>15</v>
      </c>
      <c r="C21" s="27" t="s">
        <v>39</v>
      </c>
      <c r="D21" s="28" t="s">
        <v>18</v>
      </c>
      <c r="E21" s="29">
        <f t="shared" si="2"/>
        <v>1997</v>
      </c>
      <c r="F21" s="29">
        <f>165.6+35.9+36.6</f>
        <v>238.1</v>
      </c>
      <c r="G21" s="30">
        <f t="shared" si="3"/>
        <v>0</v>
      </c>
      <c r="H21" s="30"/>
      <c r="I21" s="30">
        <f t="shared" si="4"/>
        <v>0</v>
      </c>
      <c r="J21" s="31">
        <f>334.1+288+56.8+567.1+43.5</f>
        <v>1289.5</v>
      </c>
      <c r="K21" s="30">
        <f t="shared" si="5"/>
        <v>0</v>
      </c>
      <c r="L21" s="30"/>
      <c r="M21" s="30">
        <f t="shared" si="6"/>
        <v>0</v>
      </c>
      <c r="N21" s="29">
        <v>0</v>
      </c>
      <c r="O21" s="30">
        <f t="shared" si="7"/>
        <v>0</v>
      </c>
      <c r="P21" s="30"/>
      <c r="Q21" s="30">
        <f t="shared" si="8"/>
        <v>0</v>
      </c>
      <c r="R21" s="30">
        <f>14.9+35</f>
        <v>49.9</v>
      </c>
      <c r="S21" s="30">
        <f t="shared" ref="S21:S23" si="26">T21/1.18</f>
        <v>0</v>
      </c>
      <c r="T21" s="30"/>
      <c r="U21" s="30">
        <f t="shared" si="9"/>
        <v>0</v>
      </c>
      <c r="V21" s="29">
        <f>43.9+129+30.7+19.1+30.4+111.8+30.4</f>
        <v>395.29999999999995</v>
      </c>
      <c r="W21" s="30">
        <f t="shared" si="21"/>
        <v>0</v>
      </c>
      <c r="X21" s="30"/>
      <c r="Y21" s="30">
        <f t="shared" si="11"/>
        <v>0</v>
      </c>
      <c r="Z21" s="31">
        <v>0</v>
      </c>
      <c r="AA21" s="30">
        <f t="shared" si="12"/>
        <v>0</v>
      </c>
      <c r="AB21" s="30"/>
      <c r="AC21" s="30">
        <f t="shared" si="13"/>
        <v>0</v>
      </c>
      <c r="AD21" s="31">
        <f>24.2</f>
        <v>24.2</v>
      </c>
      <c r="AE21" s="30">
        <f t="shared" si="14"/>
        <v>0</v>
      </c>
      <c r="AF21" s="30"/>
      <c r="AG21" s="30">
        <f t="shared" si="15"/>
        <v>0</v>
      </c>
      <c r="AH21" s="30">
        <f t="shared" si="16"/>
        <v>0</v>
      </c>
      <c r="AI21" s="30">
        <f t="shared" si="17"/>
        <v>0</v>
      </c>
      <c r="AJ21" s="31">
        <v>1071</v>
      </c>
      <c r="AK21" s="30" t="s">
        <v>314</v>
      </c>
      <c r="AL21" s="32">
        <v>0</v>
      </c>
      <c r="AM21" s="32">
        <f t="shared" si="18"/>
        <v>0</v>
      </c>
      <c r="AN21" s="32"/>
      <c r="AO21" s="32">
        <f t="shared" si="22"/>
        <v>0</v>
      </c>
      <c r="AP21" s="32">
        <f t="shared" si="19"/>
        <v>0</v>
      </c>
      <c r="AQ21" s="33">
        <f t="shared" si="0"/>
        <v>0</v>
      </c>
      <c r="AR21" s="82">
        <f t="shared" si="1"/>
        <v>0</v>
      </c>
      <c r="AS21" s="9"/>
      <c r="AT21" s="9"/>
      <c r="AU21" s="9"/>
      <c r="AV21" s="9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5" s="62" customFormat="1" ht="64.5" customHeight="1" outlineLevel="1" x14ac:dyDescent="0.25">
      <c r="A22" s="25">
        <f t="shared" si="23"/>
        <v>11</v>
      </c>
      <c r="B22" s="26" t="s">
        <v>15</v>
      </c>
      <c r="C22" s="27" t="s">
        <v>40</v>
      </c>
      <c r="D22" s="28" t="s">
        <v>18</v>
      </c>
      <c r="E22" s="29">
        <f t="shared" si="2"/>
        <v>1439.7</v>
      </c>
      <c r="F22" s="29">
        <f>378.1+70.4</f>
        <v>448.5</v>
      </c>
      <c r="G22" s="30">
        <f t="shared" si="3"/>
        <v>0</v>
      </c>
      <c r="H22" s="30"/>
      <c r="I22" s="30">
        <f t="shared" si="4"/>
        <v>0</v>
      </c>
      <c r="J22" s="31">
        <f>89.8+454.9+72.9</f>
        <v>617.59999999999991</v>
      </c>
      <c r="K22" s="30">
        <f t="shared" si="5"/>
        <v>0</v>
      </c>
      <c r="L22" s="30"/>
      <c r="M22" s="30">
        <f t="shared" si="6"/>
        <v>0</v>
      </c>
      <c r="N22" s="29">
        <v>0</v>
      </c>
      <c r="O22" s="30">
        <f t="shared" si="7"/>
        <v>0</v>
      </c>
      <c r="P22" s="30"/>
      <c r="Q22" s="30">
        <f t="shared" si="8"/>
        <v>0</v>
      </c>
      <c r="R22" s="30">
        <v>47.5</v>
      </c>
      <c r="S22" s="30">
        <f t="shared" si="26"/>
        <v>0</v>
      </c>
      <c r="T22" s="30"/>
      <c r="U22" s="30">
        <f t="shared" si="9"/>
        <v>0</v>
      </c>
      <c r="V22" s="29">
        <v>295.39999999999998</v>
      </c>
      <c r="W22" s="30">
        <f t="shared" si="21"/>
        <v>0</v>
      </c>
      <c r="X22" s="30"/>
      <c r="Y22" s="30">
        <f t="shared" si="11"/>
        <v>0</v>
      </c>
      <c r="Z22" s="31">
        <v>0</v>
      </c>
      <c r="AA22" s="30">
        <f t="shared" si="12"/>
        <v>0</v>
      </c>
      <c r="AB22" s="30"/>
      <c r="AC22" s="30">
        <f t="shared" si="13"/>
        <v>0</v>
      </c>
      <c r="AD22" s="31">
        <f>7.9+22.8</f>
        <v>30.700000000000003</v>
      </c>
      <c r="AE22" s="30">
        <f t="shared" si="14"/>
        <v>0</v>
      </c>
      <c r="AF22" s="30"/>
      <c r="AG22" s="30">
        <f t="shared" si="15"/>
        <v>0</v>
      </c>
      <c r="AH22" s="30">
        <f t="shared" si="16"/>
        <v>0</v>
      </c>
      <c r="AI22" s="30">
        <f t="shared" si="17"/>
        <v>0</v>
      </c>
      <c r="AJ22" s="31">
        <v>2942</v>
      </c>
      <c r="AK22" s="30" t="s">
        <v>314</v>
      </c>
      <c r="AL22" s="32">
        <v>0</v>
      </c>
      <c r="AM22" s="32">
        <f t="shared" si="18"/>
        <v>0</v>
      </c>
      <c r="AN22" s="32"/>
      <c r="AO22" s="32">
        <f t="shared" si="22"/>
        <v>0</v>
      </c>
      <c r="AP22" s="32">
        <f t="shared" si="19"/>
        <v>0</v>
      </c>
      <c r="AQ22" s="33">
        <f t="shared" si="0"/>
        <v>0</v>
      </c>
      <c r="AR22" s="82">
        <f t="shared" si="1"/>
        <v>0</v>
      </c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5" s="4" customFormat="1" ht="64.5" customHeight="1" outlineLevel="1" x14ac:dyDescent="0.25">
      <c r="A23" s="25">
        <f t="shared" si="23"/>
        <v>12</v>
      </c>
      <c r="B23" s="26" t="s">
        <v>15</v>
      </c>
      <c r="C23" s="27" t="s">
        <v>41</v>
      </c>
      <c r="D23" s="28" t="s">
        <v>18</v>
      </c>
      <c r="E23" s="29">
        <f t="shared" si="2"/>
        <v>1510.9</v>
      </c>
      <c r="F23" s="29">
        <f>34.6+202+133.4+35.6</f>
        <v>405.6</v>
      </c>
      <c r="G23" s="30">
        <f t="shared" si="3"/>
        <v>0</v>
      </c>
      <c r="H23" s="30"/>
      <c r="I23" s="30">
        <f t="shared" si="4"/>
        <v>0</v>
      </c>
      <c r="J23" s="31">
        <f>317.2+61.4+142+351.1</f>
        <v>871.69999999999993</v>
      </c>
      <c r="K23" s="30">
        <f t="shared" si="5"/>
        <v>0</v>
      </c>
      <c r="L23" s="30"/>
      <c r="M23" s="30">
        <f t="shared" si="6"/>
        <v>0</v>
      </c>
      <c r="N23" s="29">
        <v>0</v>
      </c>
      <c r="O23" s="30">
        <f t="shared" si="7"/>
        <v>0</v>
      </c>
      <c r="P23" s="30"/>
      <c r="Q23" s="30">
        <f t="shared" si="8"/>
        <v>0</v>
      </c>
      <c r="R23" s="30">
        <v>0</v>
      </c>
      <c r="S23" s="30">
        <f t="shared" si="26"/>
        <v>0</v>
      </c>
      <c r="T23" s="30"/>
      <c r="U23" s="30">
        <f t="shared" si="9"/>
        <v>0</v>
      </c>
      <c r="V23" s="29">
        <f>65.7+29.9+65.15+21.2+25.8+21.2</f>
        <v>228.95</v>
      </c>
      <c r="W23" s="30">
        <f t="shared" si="21"/>
        <v>0</v>
      </c>
      <c r="X23" s="30"/>
      <c r="Y23" s="30">
        <f t="shared" si="11"/>
        <v>0</v>
      </c>
      <c r="Z23" s="31">
        <v>0</v>
      </c>
      <c r="AA23" s="30">
        <f t="shared" si="12"/>
        <v>0</v>
      </c>
      <c r="AB23" s="30"/>
      <c r="AC23" s="30">
        <f t="shared" si="13"/>
        <v>0</v>
      </c>
      <c r="AD23" s="31">
        <f>2.25+2.4</f>
        <v>4.6500000000000004</v>
      </c>
      <c r="AE23" s="30">
        <f t="shared" si="14"/>
        <v>0</v>
      </c>
      <c r="AF23" s="30"/>
      <c r="AG23" s="30">
        <f t="shared" si="15"/>
        <v>0</v>
      </c>
      <c r="AH23" s="30">
        <f t="shared" si="16"/>
        <v>0</v>
      </c>
      <c r="AI23" s="30">
        <f t="shared" si="17"/>
        <v>0</v>
      </c>
      <c r="AJ23" s="31">
        <v>933.3</v>
      </c>
      <c r="AK23" s="30" t="s">
        <v>314</v>
      </c>
      <c r="AL23" s="32">
        <v>0</v>
      </c>
      <c r="AM23" s="32">
        <f t="shared" si="18"/>
        <v>0</v>
      </c>
      <c r="AN23" s="32"/>
      <c r="AO23" s="32">
        <f t="shared" si="22"/>
        <v>0</v>
      </c>
      <c r="AP23" s="32">
        <f t="shared" si="19"/>
        <v>0</v>
      </c>
      <c r="AQ23" s="33">
        <f t="shared" si="0"/>
        <v>0</v>
      </c>
      <c r="AR23" s="82">
        <f t="shared" si="1"/>
        <v>0</v>
      </c>
      <c r="AS23" s="9"/>
      <c r="AT23" s="9"/>
      <c r="AU23" s="9"/>
      <c r="AV23" s="9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5" s="4" customFormat="1" ht="64.5" customHeight="1" outlineLevel="1" x14ac:dyDescent="0.25">
      <c r="A24" s="25">
        <f t="shared" si="23"/>
        <v>13</v>
      </c>
      <c r="B24" s="26" t="s">
        <v>15</v>
      </c>
      <c r="C24" s="27" t="s">
        <v>42</v>
      </c>
      <c r="D24" s="28" t="s">
        <v>18</v>
      </c>
      <c r="E24" s="29">
        <f t="shared" si="2"/>
        <v>3848.4599999999996</v>
      </c>
      <c r="F24" s="29">
        <f>933.7-66.5-48.8-92.1</f>
        <v>726.30000000000007</v>
      </c>
      <c r="G24" s="30">
        <f t="shared" si="3"/>
        <v>0</v>
      </c>
      <c r="H24" s="30"/>
      <c r="I24" s="30">
        <f t="shared" si="4"/>
        <v>0</v>
      </c>
      <c r="J24" s="31">
        <v>1995.28</v>
      </c>
      <c r="K24" s="30">
        <f t="shared" si="5"/>
        <v>0</v>
      </c>
      <c r="L24" s="30"/>
      <c r="M24" s="30">
        <f t="shared" si="6"/>
        <v>0</v>
      </c>
      <c r="N24" s="29">
        <v>0</v>
      </c>
      <c r="O24" s="30">
        <f t="shared" si="7"/>
        <v>0</v>
      </c>
      <c r="P24" s="30"/>
      <c r="Q24" s="30">
        <f t="shared" si="8"/>
        <v>0</v>
      </c>
      <c r="R24" s="30">
        <v>0</v>
      </c>
      <c r="S24" s="30">
        <v>4.2</v>
      </c>
      <c r="T24" s="30"/>
      <c r="U24" s="30">
        <f t="shared" si="9"/>
        <v>0</v>
      </c>
      <c r="V24" s="29">
        <v>1057.7</v>
      </c>
      <c r="W24" s="30">
        <f t="shared" si="21"/>
        <v>0</v>
      </c>
      <c r="X24" s="30"/>
      <c r="Y24" s="30">
        <f t="shared" si="11"/>
        <v>0</v>
      </c>
      <c r="Z24" s="31">
        <v>0</v>
      </c>
      <c r="AA24" s="30">
        <f t="shared" si="12"/>
        <v>0</v>
      </c>
      <c r="AB24" s="30"/>
      <c r="AC24" s="30">
        <f t="shared" si="13"/>
        <v>0</v>
      </c>
      <c r="AD24" s="31">
        <v>69.180000000000007</v>
      </c>
      <c r="AE24" s="30">
        <f t="shared" si="14"/>
        <v>0</v>
      </c>
      <c r="AF24" s="30"/>
      <c r="AG24" s="30">
        <f t="shared" si="15"/>
        <v>0</v>
      </c>
      <c r="AH24" s="30">
        <f t="shared" si="16"/>
        <v>0</v>
      </c>
      <c r="AI24" s="30">
        <f t="shared" si="17"/>
        <v>0</v>
      </c>
      <c r="AJ24" s="31">
        <v>1868</v>
      </c>
      <c r="AK24" s="30" t="s">
        <v>314</v>
      </c>
      <c r="AL24" s="32">
        <v>0</v>
      </c>
      <c r="AM24" s="32">
        <f t="shared" si="18"/>
        <v>0</v>
      </c>
      <c r="AN24" s="32"/>
      <c r="AO24" s="32">
        <f t="shared" si="22"/>
        <v>0</v>
      </c>
      <c r="AP24" s="32">
        <f t="shared" si="19"/>
        <v>0</v>
      </c>
      <c r="AQ24" s="33">
        <f t="shared" si="0"/>
        <v>0</v>
      </c>
      <c r="AR24" s="82">
        <f t="shared" si="1"/>
        <v>0</v>
      </c>
      <c r="AS24" s="9"/>
      <c r="AT24" s="9"/>
      <c r="AU24" s="9"/>
      <c r="AV24" s="9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5" s="4" customFormat="1" ht="64.5" customHeight="1" outlineLevel="1" x14ac:dyDescent="0.25">
      <c r="A25" s="25">
        <f t="shared" si="23"/>
        <v>14</v>
      </c>
      <c r="B25" s="26" t="s">
        <v>15</v>
      </c>
      <c r="C25" s="27" t="s">
        <v>48</v>
      </c>
      <c r="D25" s="28" t="s">
        <v>18</v>
      </c>
      <c r="E25" s="29">
        <f t="shared" si="2"/>
        <v>48</v>
      </c>
      <c r="F25" s="29">
        <v>48</v>
      </c>
      <c r="G25" s="30">
        <f t="shared" si="3"/>
        <v>0</v>
      </c>
      <c r="H25" s="30"/>
      <c r="I25" s="30">
        <f t="shared" si="4"/>
        <v>0</v>
      </c>
      <c r="J25" s="31">
        <v>0</v>
      </c>
      <c r="K25" s="30">
        <f t="shared" si="5"/>
        <v>0</v>
      </c>
      <c r="L25" s="30"/>
      <c r="M25" s="30">
        <f t="shared" si="6"/>
        <v>0</v>
      </c>
      <c r="N25" s="29">
        <v>0</v>
      </c>
      <c r="O25" s="30">
        <f t="shared" si="7"/>
        <v>0</v>
      </c>
      <c r="P25" s="30"/>
      <c r="Q25" s="30">
        <f t="shared" si="8"/>
        <v>0</v>
      </c>
      <c r="R25" s="30">
        <v>0</v>
      </c>
      <c r="S25" s="30">
        <f t="shared" ref="S25:S27" si="27">T25/1.18</f>
        <v>0</v>
      </c>
      <c r="T25" s="30"/>
      <c r="U25" s="30">
        <f t="shared" si="9"/>
        <v>0</v>
      </c>
      <c r="V25" s="29">
        <v>0</v>
      </c>
      <c r="W25" s="30">
        <f t="shared" si="21"/>
        <v>0</v>
      </c>
      <c r="X25" s="30"/>
      <c r="Y25" s="30">
        <f t="shared" si="11"/>
        <v>0</v>
      </c>
      <c r="Z25" s="31">
        <v>0</v>
      </c>
      <c r="AA25" s="30">
        <f t="shared" si="12"/>
        <v>0</v>
      </c>
      <c r="AB25" s="30"/>
      <c r="AC25" s="30">
        <f t="shared" si="13"/>
        <v>0</v>
      </c>
      <c r="AD25" s="31">
        <v>0</v>
      </c>
      <c r="AE25" s="30">
        <f t="shared" si="14"/>
        <v>0</v>
      </c>
      <c r="AF25" s="30"/>
      <c r="AG25" s="30">
        <f t="shared" si="15"/>
        <v>0</v>
      </c>
      <c r="AH25" s="30">
        <f t="shared" si="16"/>
        <v>0</v>
      </c>
      <c r="AI25" s="30">
        <f t="shared" si="17"/>
        <v>0</v>
      </c>
      <c r="AJ25" s="31">
        <v>0</v>
      </c>
      <c r="AK25" s="30" t="s">
        <v>314</v>
      </c>
      <c r="AL25" s="32">
        <v>0</v>
      </c>
      <c r="AM25" s="32">
        <f t="shared" si="18"/>
        <v>0</v>
      </c>
      <c r="AN25" s="32"/>
      <c r="AO25" s="32">
        <f t="shared" si="22"/>
        <v>0</v>
      </c>
      <c r="AP25" s="32">
        <f t="shared" si="19"/>
        <v>0</v>
      </c>
      <c r="AQ25" s="33">
        <f t="shared" si="0"/>
        <v>0</v>
      </c>
      <c r="AR25" s="82">
        <f t="shared" si="1"/>
        <v>0</v>
      </c>
      <c r="AS25" s="9"/>
      <c r="AT25" s="9"/>
      <c r="AU25" s="9"/>
      <c r="AV25" s="9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5" s="4" customFormat="1" ht="64.5" customHeight="1" outlineLevel="1" x14ac:dyDescent="0.25">
      <c r="A26" s="25">
        <v>15</v>
      </c>
      <c r="B26" s="26" t="s">
        <v>15</v>
      </c>
      <c r="C26" s="27" t="s">
        <v>49</v>
      </c>
      <c r="D26" s="28" t="s">
        <v>18</v>
      </c>
      <c r="E26" s="29">
        <f t="shared" si="2"/>
        <v>54.74</v>
      </c>
      <c r="F26" s="29">
        <v>54.74</v>
      </c>
      <c r="G26" s="30">
        <f t="shared" si="3"/>
        <v>0</v>
      </c>
      <c r="H26" s="30"/>
      <c r="I26" s="30">
        <f t="shared" si="4"/>
        <v>0</v>
      </c>
      <c r="J26" s="31">
        <v>0</v>
      </c>
      <c r="K26" s="30">
        <f t="shared" si="5"/>
        <v>0</v>
      </c>
      <c r="L26" s="30"/>
      <c r="M26" s="30">
        <f t="shared" si="6"/>
        <v>0</v>
      </c>
      <c r="N26" s="29">
        <v>0</v>
      </c>
      <c r="O26" s="30">
        <f t="shared" si="7"/>
        <v>0</v>
      </c>
      <c r="P26" s="30"/>
      <c r="Q26" s="30">
        <f t="shared" si="8"/>
        <v>0</v>
      </c>
      <c r="R26" s="30">
        <v>0</v>
      </c>
      <c r="S26" s="30">
        <f t="shared" si="27"/>
        <v>0</v>
      </c>
      <c r="T26" s="30"/>
      <c r="U26" s="30">
        <f t="shared" si="9"/>
        <v>0</v>
      </c>
      <c r="V26" s="29">
        <v>0</v>
      </c>
      <c r="W26" s="30">
        <f t="shared" si="21"/>
        <v>0</v>
      </c>
      <c r="X26" s="30"/>
      <c r="Y26" s="30">
        <f t="shared" si="11"/>
        <v>0</v>
      </c>
      <c r="Z26" s="31">
        <v>0</v>
      </c>
      <c r="AA26" s="30">
        <f t="shared" si="12"/>
        <v>0</v>
      </c>
      <c r="AB26" s="30"/>
      <c r="AC26" s="30">
        <f t="shared" si="13"/>
        <v>0</v>
      </c>
      <c r="AD26" s="31">
        <v>0</v>
      </c>
      <c r="AE26" s="30">
        <f t="shared" si="14"/>
        <v>0</v>
      </c>
      <c r="AF26" s="30"/>
      <c r="AG26" s="30">
        <f t="shared" si="15"/>
        <v>0</v>
      </c>
      <c r="AH26" s="30">
        <f t="shared" si="16"/>
        <v>0</v>
      </c>
      <c r="AI26" s="30">
        <f t="shared" si="17"/>
        <v>0</v>
      </c>
      <c r="AJ26" s="31">
        <v>0</v>
      </c>
      <c r="AK26" s="30" t="s">
        <v>314</v>
      </c>
      <c r="AL26" s="32">
        <v>0</v>
      </c>
      <c r="AM26" s="32">
        <f t="shared" si="18"/>
        <v>0</v>
      </c>
      <c r="AN26" s="32"/>
      <c r="AO26" s="32">
        <f t="shared" si="22"/>
        <v>0</v>
      </c>
      <c r="AP26" s="32">
        <f t="shared" si="19"/>
        <v>0</v>
      </c>
      <c r="AQ26" s="33">
        <f t="shared" si="0"/>
        <v>0</v>
      </c>
      <c r="AR26" s="82">
        <f t="shared" si="1"/>
        <v>0</v>
      </c>
      <c r="AS26" s="9"/>
      <c r="AT26" s="9"/>
      <c r="AU26" s="9"/>
      <c r="AV26" s="9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5" s="4" customFormat="1" ht="64.5" customHeight="1" outlineLevel="1" x14ac:dyDescent="0.25">
      <c r="A27" s="25">
        <f t="shared" si="23"/>
        <v>16</v>
      </c>
      <c r="B27" s="26" t="s">
        <v>15</v>
      </c>
      <c r="C27" s="27" t="s">
        <v>43</v>
      </c>
      <c r="D27" s="28" t="s">
        <v>18</v>
      </c>
      <c r="E27" s="29">
        <f t="shared" si="2"/>
        <v>688</v>
      </c>
      <c r="F27" s="29">
        <f>200.6</f>
        <v>200.6</v>
      </c>
      <c r="G27" s="30">
        <f t="shared" si="3"/>
        <v>0</v>
      </c>
      <c r="H27" s="30"/>
      <c r="I27" s="30">
        <f t="shared" si="4"/>
        <v>0</v>
      </c>
      <c r="J27" s="31">
        <v>288.3</v>
      </c>
      <c r="K27" s="30">
        <f t="shared" si="5"/>
        <v>0</v>
      </c>
      <c r="L27" s="30"/>
      <c r="M27" s="30">
        <f t="shared" si="6"/>
        <v>0</v>
      </c>
      <c r="N27" s="29">
        <v>0</v>
      </c>
      <c r="O27" s="30">
        <f t="shared" si="7"/>
        <v>0</v>
      </c>
      <c r="P27" s="30"/>
      <c r="Q27" s="30">
        <f t="shared" si="8"/>
        <v>0</v>
      </c>
      <c r="R27" s="30">
        <v>0</v>
      </c>
      <c r="S27" s="30">
        <f t="shared" si="27"/>
        <v>0</v>
      </c>
      <c r="T27" s="30"/>
      <c r="U27" s="30">
        <f t="shared" si="9"/>
        <v>0</v>
      </c>
      <c r="V27" s="29">
        <v>167.3</v>
      </c>
      <c r="W27" s="30">
        <f t="shared" si="21"/>
        <v>0</v>
      </c>
      <c r="X27" s="30"/>
      <c r="Y27" s="30">
        <f t="shared" si="11"/>
        <v>0</v>
      </c>
      <c r="Z27" s="31">
        <v>0</v>
      </c>
      <c r="AA27" s="30">
        <f t="shared" si="12"/>
        <v>0</v>
      </c>
      <c r="AB27" s="30"/>
      <c r="AC27" s="30">
        <f t="shared" si="13"/>
        <v>0</v>
      </c>
      <c r="AD27" s="31">
        <f>10.3+21.5</f>
        <v>31.8</v>
      </c>
      <c r="AE27" s="30">
        <f t="shared" si="14"/>
        <v>0</v>
      </c>
      <c r="AF27" s="30"/>
      <c r="AG27" s="30">
        <f t="shared" si="15"/>
        <v>0</v>
      </c>
      <c r="AH27" s="30">
        <f t="shared" si="16"/>
        <v>0</v>
      </c>
      <c r="AI27" s="30">
        <f t="shared" si="17"/>
        <v>0</v>
      </c>
      <c r="AJ27" s="31">
        <v>730.1</v>
      </c>
      <c r="AK27" s="30" t="s">
        <v>314</v>
      </c>
      <c r="AL27" s="32">
        <v>0</v>
      </c>
      <c r="AM27" s="32">
        <f t="shared" si="18"/>
        <v>0</v>
      </c>
      <c r="AN27" s="32"/>
      <c r="AO27" s="32">
        <f t="shared" si="22"/>
        <v>0</v>
      </c>
      <c r="AP27" s="32">
        <f t="shared" si="19"/>
        <v>0</v>
      </c>
      <c r="AQ27" s="33">
        <f t="shared" si="0"/>
        <v>0</v>
      </c>
      <c r="AR27" s="82">
        <f t="shared" si="1"/>
        <v>0</v>
      </c>
      <c r="AS27" s="9"/>
      <c r="AT27" s="9"/>
      <c r="AU27" s="9"/>
      <c r="AV27" s="9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5" s="4" customFormat="1" ht="64.5" customHeight="1" outlineLevel="1" x14ac:dyDescent="0.25">
      <c r="A28" s="25">
        <f t="shared" si="23"/>
        <v>17</v>
      </c>
      <c r="B28" s="26" t="s">
        <v>15</v>
      </c>
      <c r="C28" s="27" t="s">
        <v>44</v>
      </c>
      <c r="D28" s="28" t="s">
        <v>18</v>
      </c>
      <c r="E28" s="29">
        <f t="shared" si="2"/>
        <v>1290</v>
      </c>
      <c r="F28" s="29">
        <v>390</v>
      </c>
      <c r="G28" s="30">
        <f t="shared" si="3"/>
        <v>0</v>
      </c>
      <c r="H28" s="30"/>
      <c r="I28" s="30">
        <f t="shared" si="4"/>
        <v>0</v>
      </c>
      <c r="J28" s="31">
        <v>385.4</v>
      </c>
      <c r="K28" s="30">
        <f t="shared" si="5"/>
        <v>0</v>
      </c>
      <c r="L28" s="30"/>
      <c r="M28" s="30">
        <f t="shared" si="6"/>
        <v>0</v>
      </c>
      <c r="N28" s="29">
        <v>0</v>
      </c>
      <c r="O28" s="30">
        <f t="shared" si="7"/>
        <v>0</v>
      </c>
      <c r="P28" s="30"/>
      <c r="Q28" s="30">
        <f t="shared" si="8"/>
        <v>0</v>
      </c>
      <c r="R28" s="30">
        <v>56.6</v>
      </c>
      <c r="S28" s="30">
        <v>4.2</v>
      </c>
      <c r="T28" s="30"/>
      <c r="U28" s="30">
        <f t="shared" si="9"/>
        <v>0</v>
      </c>
      <c r="V28" s="29">
        <v>426.8</v>
      </c>
      <c r="W28" s="30">
        <f t="shared" si="21"/>
        <v>0</v>
      </c>
      <c r="X28" s="30"/>
      <c r="Y28" s="30">
        <f t="shared" si="11"/>
        <v>0</v>
      </c>
      <c r="Z28" s="31">
        <v>0</v>
      </c>
      <c r="AA28" s="30">
        <f t="shared" si="12"/>
        <v>0</v>
      </c>
      <c r="AB28" s="30"/>
      <c r="AC28" s="30">
        <f t="shared" si="13"/>
        <v>0</v>
      </c>
      <c r="AD28" s="31">
        <v>31.2</v>
      </c>
      <c r="AE28" s="30">
        <f t="shared" si="14"/>
        <v>0</v>
      </c>
      <c r="AF28" s="30"/>
      <c r="AG28" s="30">
        <f t="shared" si="15"/>
        <v>0</v>
      </c>
      <c r="AH28" s="30">
        <f t="shared" si="16"/>
        <v>0</v>
      </c>
      <c r="AI28" s="30">
        <f t="shared" si="17"/>
        <v>0</v>
      </c>
      <c r="AJ28" s="31">
        <v>2880</v>
      </c>
      <c r="AK28" s="30" t="s">
        <v>314</v>
      </c>
      <c r="AL28" s="32">
        <v>0</v>
      </c>
      <c r="AM28" s="32">
        <f t="shared" si="18"/>
        <v>0</v>
      </c>
      <c r="AN28" s="32"/>
      <c r="AO28" s="32">
        <f t="shared" si="22"/>
        <v>0</v>
      </c>
      <c r="AP28" s="32">
        <f t="shared" si="19"/>
        <v>0</v>
      </c>
      <c r="AQ28" s="33">
        <f t="shared" si="0"/>
        <v>0</v>
      </c>
      <c r="AR28" s="82">
        <f t="shared" si="1"/>
        <v>0</v>
      </c>
      <c r="AS28" s="9"/>
      <c r="AT28" s="9"/>
      <c r="AU28" s="9"/>
      <c r="AV28" s="9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5" s="35" customFormat="1" ht="64.5" customHeight="1" outlineLevel="1" x14ac:dyDescent="0.25">
      <c r="A29" s="147" t="s">
        <v>63</v>
      </c>
      <c r="B29" s="148"/>
      <c r="C29" s="148"/>
      <c r="D29" s="102"/>
      <c r="E29" s="29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30"/>
      <c r="AI29" s="30"/>
      <c r="AJ29" s="102"/>
      <c r="AK29" s="30" t="s">
        <v>314</v>
      </c>
      <c r="AL29" s="102"/>
      <c r="AM29" s="32"/>
      <c r="AN29" s="102"/>
      <c r="AO29" s="102"/>
      <c r="AP29" s="102"/>
      <c r="AQ29" s="111"/>
      <c r="AR29" s="126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</row>
    <row r="30" spans="1:85" s="4" customFormat="1" ht="64.5" customHeight="1" outlineLevel="1" x14ac:dyDescent="0.25">
      <c r="A30" s="25">
        <f>A28+1</f>
        <v>18</v>
      </c>
      <c r="B30" s="26" t="s">
        <v>15</v>
      </c>
      <c r="C30" s="27" t="s">
        <v>67</v>
      </c>
      <c r="D30" s="28" t="s">
        <v>18</v>
      </c>
      <c r="E30" s="29">
        <f t="shared" si="2"/>
        <v>6</v>
      </c>
      <c r="F30" s="29">
        <v>0</v>
      </c>
      <c r="G30" s="30">
        <f t="shared" si="3"/>
        <v>0</v>
      </c>
      <c r="H30" s="30"/>
      <c r="I30" s="30">
        <f t="shared" si="4"/>
        <v>0</v>
      </c>
      <c r="J30" s="31">
        <v>6</v>
      </c>
      <c r="K30" s="30">
        <f t="shared" si="5"/>
        <v>0</v>
      </c>
      <c r="L30" s="30"/>
      <c r="M30" s="30">
        <f t="shared" si="6"/>
        <v>0</v>
      </c>
      <c r="N30" s="29">
        <v>0</v>
      </c>
      <c r="O30" s="30">
        <f t="shared" si="7"/>
        <v>0</v>
      </c>
      <c r="P30" s="30"/>
      <c r="Q30" s="30">
        <f t="shared" si="8"/>
        <v>0</v>
      </c>
      <c r="R30" s="30">
        <v>0</v>
      </c>
      <c r="S30" s="30">
        <f t="shared" ref="S30:S31" si="28">T30/1.18</f>
        <v>0</v>
      </c>
      <c r="T30" s="30"/>
      <c r="U30" s="30">
        <f t="shared" si="9"/>
        <v>0</v>
      </c>
      <c r="V30" s="29">
        <v>0</v>
      </c>
      <c r="W30" s="30">
        <f t="shared" si="21"/>
        <v>0</v>
      </c>
      <c r="X30" s="30"/>
      <c r="Y30" s="30">
        <f t="shared" si="11"/>
        <v>0</v>
      </c>
      <c r="Z30" s="31">
        <v>0</v>
      </c>
      <c r="AA30" s="30">
        <f t="shared" si="12"/>
        <v>0</v>
      </c>
      <c r="AB30" s="30"/>
      <c r="AC30" s="30">
        <f t="shared" si="13"/>
        <v>0</v>
      </c>
      <c r="AD30" s="31">
        <v>0</v>
      </c>
      <c r="AE30" s="30">
        <f t="shared" si="14"/>
        <v>0</v>
      </c>
      <c r="AF30" s="30"/>
      <c r="AG30" s="30">
        <f t="shared" si="15"/>
        <v>0</v>
      </c>
      <c r="AH30" s="30">
        <f t="shared" si="16"/>
        <v>0</v>
      </c>
      <c r="AI30" s="30">
        <f t="shared" ref="AI30:AI93" si="29">I30+M30+Q30+U30+Y30+AC30+AG30</f>
        <v>0</v>
      </c>
      <c r="AJ30" s="31">
        <v>0</v>
      </c>
      <c r="AK30" s="30" t="s">
        <v>314</v>
      </c>
      <c r="AL30" s="32">
        <v>0</v>
      </c>
      <c r="AM30" s="32">
        <f t="shared" si="18"/>
        <v>0</v>
      </c>
      <c r="AN30" s="32"/>
      <c r="AO30" s="32">
        <f t="shared" si="22"/>
        <v>0</v>
      </c>
      <c r="AP30" s="32">
        <f t="shared" si="19"/>
        <v>0</v>
      </c>
      <c r="AQ30" s="33">
        <f t="shared" si="0"/>
        <v>0</v>
      </c>
      <c r="AR30" s="82">
        <f t="shared" si="1"/>
        <v>0</v>
      </c>
      <c r="AS30" s="9"/>
      <c r="AT30" s="9"/>
      <c r="AU30" s="9"/>
      <c r="AV30" s="9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2"/>
      <c r="CD30" s="62"/>
      <c r="CE30" s="62"/>
      <c r="CF30" s="62"/>
      <c r="CG30" s="62"/>
    </row>
    <row r="31" spans="1:85" s="4" customFormat="1" ht="64.5" customHeight="1" outlineLevel="1" x14ac:dyDescent="0.25">
      <c r="A31" s="25">
        <f>A30+1</f>
        <v>19</v>
      </c>
      <c r="B31" s="26" t="s">
        <v>15</v>
      </c>
      <c r="C31" s="27" t="s">
        <v>68</v>
      </c>
      <c r="D31" s="28" t="s">
        <v>18</v>
      </c>
      <c r="E31" s="29">
        <f t="shared" si="2"/>
        <v>7</v>
      </c>
      <c r="F31" s="29">
        <v>0</v>
      </c>
      <c r="G31" s="30">
        <f t="shared" si="3"/>
        <v>0</v>
      </c>
      <c r="H31" s="30"/>
      <c r="I31" s="30">
        <f t="shared" si="4"/>
        <v>0</v>
      </c>
      <c r="J31" s="31">
        <v>7</v>
      </c>
      <c r="K31" s="30">
        <f t="shared" si="5"/>
        <v>0</v>
      </c>
      <c r="L31" s="30"/>
      <c r="M31" s="30">
        <f t="shared" si="6"/>
        <v>0</v>
      </c>
      <c r="N31" s="29">
        <v>0</v>
      </c>
      <c r="O31" s="30">
        <f t="shared" si="7"/>
        <v>0</v>
      </c>
      <c r="P31" s="30"/>
      <c r="Q31" s="30">
        <f t="shared" si="8"/>
        <v>0</v>
      </c>
      <c r="R31" s="30">
        <v>0</v>
      </c>
      <c r="S31" s="30">
        <f t="shared" si="28"/>
        <v>0</v>
      </c>
      <c r="T31" s="30"/>
      <c r="U31" s="30">
        <f t="shared" si="9"/>
        <v>0</v>
      </c>
      <c r="V31" s="29">
        <v>0</v>
      </c>
      <c r="W31" s="30">
        <f t="shared" si="21"/>
        <v>0</v>
      </c>
      <c r="X31" s="30"/>
      <c r="Y31" s="30">
        <f t="shared" si="11"/>
        <v>0</v>
      </c>
      <c r="Z31" s="31">
        <v>0</v>
      </c>
      <c r="AA31" s="30">
        <f t="shared" si="12"/>
        <v>0</v>
      </c>
      <c r="AB31" s="30"/>
      <c r="AC31" s="30">
        <f t="shared" si="13"/>
        <v>0</v>
      </c>
      <c r="AD31" s="31">
        <v>0</v>
      </c>
      <c r="AE31" s="30">
        <f t="shared" si="14"/>
        <v>0</v>
      </c>
      <c r="AF31" s="30"/>
      <c r="AG31" s="30">
        <f t="shared" si="15"/>
        <v>0</v>
      </c>
      <c r="AH31" s="30">
        <f t="shared" si="16"/>
        <v>0</v>
      </c>
      <c r="AI31" s="30">
        <f t="shared" si="29"/>
        <v>0</v>
      </c>
      <c r="AJ31" s="31">
        <v>0</v>
      </c>
      <c r="AK31" s="30" t="s">
        <v>314</v>
      </c>
      <c r="AL31" s="32">
        <v>0</v>
      </c>
      <c r="AM31" s="32">
        <f t="shared" si="18"/>
        <v>0</v>
      </c>
      <c r="AN31" s="32"/>
      <c r="AO31" s="32">
        <f t="shared" si="22"/>
        <v>0</v>
      </c>
      <c r="AP31" s="32">
        <f t="shared" si="19"/>
        <v>0</v>
      </c>
      <c r="AQ31" s="33">
        <f t="shared" si="0"/>
        <v>0</v>
      </c>
      <c r="AR31" s="82">
        <f t="shared" si="1"/>
        <v>0</v>
      </c>
      <c r="AS31" s="9"/>
      <c r="AT31" s="9"/>
      <c r="AU31" s="9"/>
      <c r="AV31" s="9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2"/>
      <c r="CD31" s="62"/>
      <c r="CE31" s="62"/>
      <c r="CF31" s="62"/>
      <c r="CG31" s="62"/>
    </row>
    <row r="32" spans="1:85" s="4" customFormat="1" ht="64.5" customHeight="1" outlineLevel="1" x14ac:dyDescent="0.25">
      <c r="A32" s="25">
        <f t="shared" ref="A32:A46" si="30">A31+1</f>
        <v>20</v>
      </c>
      <c r="B32" s="26" t="s">
        <v>15</v>
      </c>
      <c r="C32" s="27" t="s">
        <v>69</v>
      </c>
      <c r="D32" s="28" t="s">
        <v>18</v>
      </c>
      <c r="E32" s="29">
        <f t="shared" si="2"/>
        <v>37.200000000000003</v>
      </c>
      <c r="F32" s="29">
        <v>0</v>
      </c>
      <c r="G32" s="30">
        <f t="shared" si="3"/>
        <v>0</v>
      </c>
      <c r="H32" s="30"/>
      <c r="I32" s="30">
        <f t="shared" si="4"/>
        <v>0</v>
      </c>
      <c r="J32" s="31">
        <v>37.200000000000003</v>
      </c>
      <c r="K32" s="30">
        <f t="shared" si="5"/>
        <v>0</v>
      </c>
      <c r="L32" s="30"/>
      <c r="M32" s="30">
        <f t="shared" si="6"/>
        <v>0</v>
      </c>
      <c r="N32" s="29">
        <v>0</v>
      </c>
      <c r="O32" s="30">
        <f t="shared" si="7"/>
        <v>0</v>
      </c>
      <c r="P32" s="30"/>
      <c r="Q32" s="30">
        <f t="shared" si="8"/>
        <v>0</v>
      </c>
      <c r="R32" s="30">
        <v>0</v>
      </c>
      <c r="S32" s="30">
        <v>4.2</v>
      </c>
      <c r="T32" s="30"/>
      <c r="U32" s="30">
        <f t="shared" si="9"/>
        <v>0</v>
      </c>
      <c r="V32" s="29">
        <v>0</v>
      </c>
      <c r="W32" s="30">
        <f t="shared" si="21"/>
        <v>0</v>
      </c>
      <c r="X32" s="30"/>
      <c r="Y32" s="30">
        <f t="shared" si="11"/>
        <v>0</v>
      </c>
      <c r="Z32" s="31">
        <v>0</v>
      </c>
      <c r="AA32" s="30">
        <f t="shared" si="12"/>
        <v>0</v>
      </c>
      <c r="AB32" s="30"/>
      <c r="AC32" s="30">
        <f t="shared" si="13"/>
        <v>0</v>
      </c>
      <c r="AD32" s="31">
        <v>0</v>
      </c>
      <c r="AE32" s="30">
        <f t="shared" si="14"/>
        <v>0</v>
      </c>
      <c r="AF32" s="30"/>
      <c r="AG32" s="30">
        <f t="shared" si="15"/>
        <v>0</v>
      </c>
      <c r="AH32" s="30">
        <f t="shared" si="16"/>
        <v>0</v>
      </c>
      <c r="AI32" s="30">
        <f t="shared" si="29"/>
        <v>0</v>
      </c>
      <c r="AJ32" s="31">
        <v>0</v>
      </c>
      <c r="AK32" s="30" t="s">
        <v>314</v>
      </c>
      <c r="AL32" s="32">
        <v>0</v>
      </c>
      <c r="AM32" s="32">
        <f t="shared" si="18"/>
        <v>0</v>
      </c>
      <c r="AN32" s="32"/>
      <c r="AO32" s="32">
        <f t="shared" si="22"/>
        <v>0</v>
      </c>
      <c r="AP32" s="32">
        <f t="shared" si="19"/>
        <v>0</v>
      </c>
      <c r="AQ32" s="33">
        <f t="shared" si="0"/>
        <v>0</v>
      </c>
      <c r="AR32" s="82">
        <f t="shared" si="1"/>
        <v>0</v>
      </c>
      <c r="AS32" s="9"/>
      <c r="AT32" s="9"/>
      <c r="AU32" s="9"/>
      <c r="AV32" s="9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2"/>
      <c r="CD32" s="62"/>
      <c r="CE32" s="62"/>
      <c r="CF32" s="62"/>
      <c r="CG32" s="62"/>
    </row>
    <row r="33" spans="1:85" s="4" customFormat="1" ht="64.5" customHeight="1" outlineLevel="1" x14ac:dyDescent="0.25">
      <c r="A33" s="25">
        <f t="shared" si="30"/>
        <v>21</v>
      </c>
      <c r="B33" s="26" t="s">
        <v>15</v>
      </c>
      <c r="C33" s="27" t="s">
        <v>70</v>
      </c>
      <c r="D33" s="28" t="s">
        <v>18</v>
      </c>
      <c r="E33" s="29">
        <f t="shared" si="2"/>
        <v>73</v>
      </c>
      <c r="F33" s="29">
        <v>0</v>
      </c>
      <c r="G33" s="30">
        <f t="shared" si="3"/>
        <v>0</v>
      </c>
      <c r="H33" s="30"/>
      <c r="I33" s="30">
        <f t="shared" si="4"/>
        <v>0</v>
      </c>
      <c r="J33" s="31">
        <v>73</v>
      </c>
      <c r="K33" s="30">
        <f t="shared" si="5"/>
        <v>0</v>
      </c>
      <c r="L33" s="30"/>
      <c r="M33" s="30">
        <f t="shared" si="6"/>
        <v>0</v>
      </c>
      <c r="N33" s="29">
        <v>0</v>
      </c>
      <c r="O33" s="30">
        <f t="shared" si="7"/>
        <v>0</v>
      </c>
      <c r="P33" s="30"/>
      <c r="Q33" s="30">
        <f t="shared" si="8"/>
        <v>0</v>
      </c>
      <c r="R33" s="30">
        <v>0</v>
      </c>
      <c r="S33" s="30">
        <f t="shared" ref="S33:S35" si="31">T33/1.18</f>
        <v>0</v>
      </c>
      <c r="T33" s="30"/>
      <c r="U33" s="30">
        <f t="shared" si="9"/>
        <v>0</v>
      </c>
      <c r="V33" s="29">
        <v>0</v>
      </c>
      <c r="W33" s="30">
        <f t="shared" si="21"/>
        <v>0</v>
      </c>
      <c r="X33" s="30"/>
      <c r="Y33" s="30">
        <f t="shared" si="11"/>
        <v>0</v>
      </c>
      <c r="Z33" s="31">
        <v>0</v>
      </c>
      <c r="AA33" s="30">
        <f t="shared" si="12"/>
        <v>0</v>
      </c>
      <c r="AB33" s="30"/>
      <c r="AC33" s="30">
        <f t="shared" si="13"/>
        <v>0</v>
      </c>
      <c r="AD33" s="31">
        <v>0</v>
      </c>
      <c r="AE33" s="30">
        <f t="shared" si="14"/>
        <v>0</v>
      </c>
      <c r="AF33" s="30"/>
      <c r="AG33" s="30">
        <f t="shared" si="15"/>
        <v>0</v>
      </c>
      <c r="AH33" s="30">
        <f t="shared" si="16"/>
        <v>0</v>
      </c>
      <c r="AI33" s="30">
        <f t="shared" si="29"/>
        <v>0</v>
      </c>
      <c r="AJ33" s="31">
        <v>0</v>
      </c>
      <c r="AK33" s="30" t="s">
        <v>314</v>
      </c>
      <c r="AL33" s="32">
        <v>0</v>
      </c>
      <c r="AM33" s="32">
        <f t="shared" si="18"/>
        <v>0</v>
      </c>
      <c r="AN33" s="32"/>
      <c r="AO33" s="32">
        <f t="shared" si="22"/>
        <v>0</v>
      </c>
      <c r="AP33" s="32">
        <f t="shared" si="19"/>
        <v>0</v>
      </c>
      <c r="AQ33" s="33">
        <f t="shared" si="0"/>
        <v>0</v>
      </c>
      <c r="AR33" s="82">
        <f t="shared" si="1"/>
        <v>0</v>
      </c>
      <c r="AS33" s="9"/>
      <c r="AT33" s="9"/>
      <c r="AU33" s="9"/>
      <c r="AV33" s="9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2"/>
      <c r="CD33" s="62"/>
      <c r="CE33" s="62"/>
      <c r="CF33" s="62"/>
      <c r="CG33" s="62"/>
    </row>
    <row r="34" spans="1:85" s="4" customFormat="1" ht="64.5" customHeight="1" outlineLevel="1" x14ac:dyDescent="0.25">
      <c r="A34" s="25">
        <f t="shared" si="30"/>
        <v>22</v>
      </c>
      <c r="B34" s="26" t="s">
        <v>15</v>
      </c>
      <c r="C34" s="27" t="s">
        <v>71</v>
      </c>
      <c r="D34" s="28" t="s">
        <v>18</v>
      </c>
      <c r="E34" s="29">
        <f t="shared" si="2"/>
        <v>13</v>
      </c>
      <c r="F34" s="29">
        <v>0</v>
      </c>
      <c r="G34" s="30">
        <f t="shared" si="3"/>
        <v>0</v>
      </c>
      <c r="H34" s="30"/>
      <c r="I34" s="30">
        <f t="shared" si="4"/>
        <v>0</v>
      </c>
      <c r="J34" s="31">
        <v>13</v>
      </c>
      <c r="K34" s="30">
        <f t="shared" si="5"/>
        <v>0</v>
      </c>
      <c r="L34" s="30"/>
      <c r="M34" s="30">
        <f t="shared" si="6"/>
        <v>0</v>
      </c>
      <c r="N34" s="29">
        <v>0</v>
      </c>
      <c r="O34" s="30">
        <f t="shared" si="7"/>
        <v>0</v>
      </c>
      <c r="P34" s="30"/>
      <c r="Q34" s="30">
        <f t="shared" si="8"/>
        <v>0</v>
      </c>
      <c r="R34" s="30">
        <v>0</v>
      </c>
      <c r="S34" s="30">
        <f t="shared" si="31"/>
        <v>0</v>
      </c>
      <c r="T34" s="30"/>
      <c r="U34" s="30">
        <f t="shared" si="9"/>
        <v>0</v>
      </c>
      <c r="V34" s="29">
        <v>0</v>
      </c>
      <c r="W34" s="30">
        <f t="shared" si="21"/>
        <v>0</v>
      </c>
      <c r="X34" s="30"/>
      <c r="Y34" s="30">
        <f t="shared" si="11"/>
        <v>0</v>
      </c>
      <c r="Z34" s="31">
        <v>0</v>
      </c>
      <c r="AA34" s="30">
        <f t="shared" si="12"/>
        <v>0</v>
      </c>
      <c r="AB34" s="30"/>
      <c r="AC34" s="30">
        <f t="shared" si="13"/>
        <v>0</v>
      </c>
      <c r="AD34" s="31">
        <v>0</v>
      </c>
      <c r="AE34" s="30">
        <f t="shared" si="14"/>
        <v>0</v>
      </c>
      <c r="AF34" s="30"/>
      <c r="AG34" s="30">
        <f t="shared" si="15"/>
        <v>0</v>
      </c>
      <c r="AH34" s="30">
        <f t="shared" si="16"/>
        <v>0</v>
      </c>
      <c r="AI34" s="30">
        <f t="shared" si="29"/>
        <v>0</v>
      </c>
      <c r="AJ34" s="31">
        <v>0</v>
      </c>
      <c r="AK34" s="30" t="s">
        <v>314</v>
      </c>
      <c r="AL34" s="32">
        <v>0</v>
      </c>
      <c r="AM34" s="32">
        <f t="shared" si="18"/>
        <v>0</v>
      </c>
      <c r="AN34" s="32"/>
      <c r="AO34" s="32">
        <f t="shared" si="22"/>
        <v>0</v>
      </c>
      <c r="AP34" s="32">
        <f t="shared" si="19"/>
        <v>0</v>
      </c>
      <c r="AQ34" s="33">
        <f t="shared" si="0"/>
        <v>0</v>
      </c>
      <c r="AR34" s="82">
        <f t="shared" si="1"/>
        <v>0</v>
      </c>
      <c r="AS34" s="9"/>
      <c r="AT34" s="9"/>
      <c r="AU34" s="9"/>
      <c r="AV34" s="9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2"/>
      <c r="CD34" s="62"/>
      <c r="CE34" s="62"/>
      <c r="CF34" s="62"/>
      <c r="CG34" s="62"/>
    </row>
    <row r="35" spans="1:85" s="4" customFormat="1" ht="64.5" customHeight="1" outlineLevel="1" x14ac:dyDescent="0.25">
      <c r="A35" s="25">
        <f t="shared" si="30"/>
        <v>23</v>
      </c>
      <c r="B35" s="26" t="s">
        <v>15</v>
      </c>
      <c r="C35" s="27" t="s">
        <v>72</v>
      </c>
      <c r="D35" s="28" t="s">
        <v>18</v>
      </c>
      <c r="E35" s="29">
        <f t="shared" si="2"/>
        <v>16</v>
      </c>
      <c r="F35" s="29">
        <v>0</v>
      </c>
      <c r="G35" s="30">
        <f t="shared" si="3"/>
        <v>0</v>
      </c>
      <c r="H35" s="30"/>
      <c r="I35" s="30">
        <f t="shared" si="4"/>
        <v>0</v>
      </c>
      <c r="J35" s="31">
        <v>16</v>
      </c>
      <c r="K35" s="30">
        <f t="shared" si="5"/>
        <v>0</v>
      </c>
      <c r="L35" s="30"/>
      <c r="M35" s="30">
        <f t="shared" si="6"/>
        <v>0</v>
      </c>
      <c r="N35" s="29">
        <v>0</v>
      </c>
      <c r="O35" s="30">
        <f t="shared" si="7"/>
        <v>0</v>
      </c>
      <c r="P35" s="30"/>
      <c r="Q35" s="30">
        <f t="shared" si="8"/>
        <v>0</v>
      </c>
      <c r="R35" s="30">
        <v>0</v>
      </c>
      <c r="S35" s="30">
        <f t="shared" si="31"/>
        <v>0</v>
      </c>
      <c r="T35" s="30"/>
      <c r="U35" s="30">
        <f t="shared" si="9"/>
        <v>0</v>
      </c>
      <c r="V35" s="29">
        <v>0</v>
      </c>
      <c r="W35" s="30">
        <f t="shared" si="21"/>
        <v>0</v>
      </c>
      <c r="X35" s="30"/>
      <c r="Y35" s="30">
        <f t="shared" si="11"/>
        <v>0</v>
      </c>
      <c r="Z35" s="31">
        <v>0</v>
      </c>
      <c r="AA35" s="30">
        <f t="shared" si="12"/>
        <v>0</v>
      </c>
      <c r="AB35" s="30"/>
      <c r="AC35" s="30">
        <f t="shared" si="13"/>
        <v>0</v>
      </c>
      <c r="AD35" s="31">
        <v>0</v>
      </c>
      <c r="AE35" s="30">
        <f t="shared" si="14"/>
        <v>0</v>
      </c>
      <c r="AF35" s="30"/>
      <c r="AG35" s="30">
        <f t="shared" si="15"/>
        <v>0</v>
      </c>
      <c r="AH35" s="30">
        <f t="shared" si="16"/>
        <v>0</v>
      </c>
      <c r="AI35" s="30">
        <f t="shared" si="29"/>
        <v>0</v>
      </c>
      <c r="AJ35" s="31">
        <v>0</v>
      </c>
      <c r="AK35" s="30" t="s">
        <v>314</v>
      </c>
      <c r="AL35" s="32">
        <v>0</v>
      </c>
      <c r="AM35" s="32">
        <f t="shared" si="18"/>
        <v>0</v>
      </c>
      <c r="AN35" s="32"/>
      <c r="AO35" s="32">
        <f t="shared" si="22"/>
        <v>0</v>
      </c>
      <c r="AP35" s="32">
        <f t="shared" si="19"/>
        <v>0</v>
      </c>
      <c r="AQ35" s="33">
        <f t="shared" si="0"/>
        <v>0</v>
      </c>
      <c r="AR35" s="82">
        <f t="shared" si="1"/>
        <v>0</v>
      </c>
      <c r="AS35" s="9"/>
      <c r="AT35" s="9"/>
      <c r="AU35" s="9"/>
      <c r="AV35" s="9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2"/>
      <c r="CD35" s="62"/>
      <c r="CE35" s="62"/>
      <c r="CF35" s="62"/>
      <c r="CG35" s="62"/>
    </row>
    <row r="36" spans="1:85" s="4" customFormat="1" ht="64.5" customHeight="1" outlineLevel="1" x14ac:dyDescent="0.25">
      <c r="A36" s="25">
        <f t="shared" si="30"/>
        <v>24</v>
      </c>
      <c r="B36" s="26" t="s">
        <v>15</v>
      </c>
      <c r="C36" s="27" t="s">
        <v>73</v>
      </c>
      <c r="D36" s="28" t="s">
        <v>18</v>
      </c>
      <c r="E36" s="29">
        <f t="shared" si="2"/>
        <v>108</v>
      </c>
      <c r="F36" s="29">
        <v>0</v>
      </c>
      <c r="G36" s="30">
        <f t="shared" si="3"/>
        <v>0</v>
      </c>
      <c r="H36" s="30"/>
      <c r="I36" s="30">
        <f t="shared" si="4"/>
        <v>0</v>
      </c>
      <c r="J36" s="31">
        <v>108</v>
      </c>
      <c r="K36" s="30">
        <f t="shared" si="5"/>
        <v>0</v>
      </c>
      <c r="L36" s="30"/>
      <c r="M36" s="30">
        <f t="shared" si="6"/>
        <v>0</v>
      </c>
      <c r="N36" s="29">
        <v>0</v>
      </c>
      <c r="O36" s="30">
        <f t="shared" si="7"/>
        <v>0</v>
      </c>
      <c r="P36" s="30"/>
      <c r="Q36" s="30">
        <f t="shared" si="8"/>
        <v>0</v>
      </c>
      <c r="R36" s="30">
        <v>0</v>
      </c>
      <c r="S36" s="30">
        <v>4.2</v>
      </c>
      <c r="T36" s="30"/>
      <c r="U36" s="30">
        <f t="shared" si="9"/>
        <v>0</v>
      </c>
      <c r="V36" s="29">
        <v>0</v>
      </c>
      <c r="W36" s="30">
        <f t="shared" si="21"/>
        <v>0</v>
      </c>
      <c r="X36" s="30"/>
      <c r="Y36" s="30">
        <f t="shared" si="11"/>
        <v>0</v>
      </c>
      <c r="Z36" s="31">
        <v>0</v>
      </c>
      <c r="AA36" s="30">
        <f t="shared" si="12"/>
        <v>0</v>
      </c>
      <c r="AB36" s="30"/>
      <c r="AC36" s="30">
        <f t="shared" si="13"/>
        <v>0</v>
      </c>
      <c r="AD36" s="31">
        <v>0</v>
      </c>
      <c r="AE36" s="30">
        <f t="shared" si="14"/>
        <v>0</v>
      </c>
      <c r="AF36" s="30"/>
      <c r="AG36" s="30">
        <f t="shared" si="15"/>
        <v>0</v>
      </c>
      <c r="AH36" s="30">
        <f t="shared" si="16"/>
        <v>0</v>
      </c>
      <c r="AI36" s="30">
        <f t="shared" si="29"/>
        <v>0</v>
      </c>
      <c r="AJ36" s="31">
        <v>0</v>
      </c>
      <c r="AK36" s="30" t="s">
        <v>314</v>
      </c>
      <c r="AL36" s="32">
        <v>0</v>
      </c>
      <c r="AM36" s="32">
        <f t="shared" si="18"/>
        <v>0</v>
      </c>
      <c r="AN36" s="32"/>
      <c r="AO36" s="32">
        <f t="shared" si="22"/>
        <v>0</v>
      </c>
      <c r="AP36" s="32">
        <f t="shared" si="19"/>
        <v>0</v>
      </c>
      <c r="AQ36" s="33">
        <f t="shared" si="0"/>
        <v>0</v>
      </c>
      <c r="AR36" s="82">
        <f t="shared" si="1"/>
        <v>0</v>
      </c>
      <c r="AS36" s="9"/>
      <c r="AT36" s="9"/>
      <c r="AU36" s="9"/>
      <c r="AV36" s="9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2"/>
      <c r="CD36" s="62"/>
      <c r="CE36" s="62"/>
      <c r="CF36" s="62"/>
      <c r="CG36" s="62"/>
    </row>
    <row r="37" spans="1:85" s="4" customFormat="1" ht="64.5" customHeight="1" outlineLevel="1" x14ac:dyDescent="0.25">
      <c r="A37" s="25">
        <f t="shared" si="30"/>
        <v>25</v>
      </c>
      <c r="B37" s="26" t="s">
        <v>15</v>
      </c>
      <c r="C37" s="27" t="s">
        <v>74</v>
      </c>
      <c r="D37" s="28" t="s">
        <v>18</v>
      </c>
      <c r="E37" s="29">
        <f t="shared" si="2"/>
        <v>18</v>
      </c>
      <c r="F37" s="29">
        <v>0</v>
      </c>
      <c r="G37" s="30">
        <f t="shared" si="3"/>
        <v>0</v>
      </c>
      <c r="H37" s="30"/>
      <c r="I37" s="30">
        <f t="shared" si="4"/>
        <v>0</v>
      </c>
      <c r="J37" s="31">
        <v>18</v>
      </c>
      <c r="K37" s="30">
        <f t="shared" si="5"/>
        <v>0</v>
      </c>
      <c r="L37" s="30"/>
      <c r="M37" s="30">
        <f t="shared" si="6"/>
        <v>0</v>
      </c>
      <c r="N37" s="29">
        <v>0</v>
      </c>
      <c r="O37" s="30">
        <f t="shared" si="7"/>
        <v>0</v>
      </c>
      <c r="P37" s="30"/>
      <c r="Q37" s="30">
        <f t="shared" si="8"/>
        <v>0</v>
      </c>
      <c r="R37" s="30">
        <v>0</v>
      </c>
      <c r="S37" s="30">
        <f t="shared" ref="S37:S39" si="32">T37/1.18</f>
        <v>0</v>
      </c>
      <c r="T37" s="30"/>
      <c r="U37" s="30">
        <f t="shared" si="9"/>
        <v>0</v>
      </c>
      <c r="V37" s="29">
        <v>0</v>
      </c>
      <c r="W37" s="30">
        <f t="shared" si="21"/>
        <v>0</v>
      </c>
      <c r="X37" s="30"/>
      <c r="Y37" s="30">
        <f t="shared" si="11"/>
        <v>0</v>
      </c>
      <c r="Z37" s="31">
        <v>0</v>
      </c>
      <c r="AA37" s="30">
        <f t="shared" si="12"/>
        <v>0</v>
      </c>
      <c r="AB37" s="30"/>
      <c r="AC37" s="30">
        <f t="shared" si="13"/>
        <v>0</v>
      </c>
      <c r="AD37" s="31">
        <v>0</v>
      </c>
      <c r="AE37" s="30">
        <f t="shared" si="14"/>
        <v>0</v>
      </c>
      <c r="AF37" s="30"/>
      <c r="AG37" s="30">
        <f t="shared" si="15"/>
        <v>0</v>
      </c>
      <c r="AH37" s="30">
        <f t="shared" si="16"/>
        <v>0</v>
      </c>
      <c r="AI37" s="30">
        <f t="shared" si="29"/>
        <v>0</v>
      </c>
      <c r="AJ37" s="31">
        <v>0</v>
      </c>
      <c r="AK37" s="30" t="s">
        <v>314</v>
      </c>
      <c r="AL37" s="32">
        <v>0</v>
      </c>
      <c r="AM37" s="32">
        <f t="shared" si="18"/>
        <v>0</v>
      </c>
      <c r="AN37" s="32"/>
      <c r="AO37" s="32">
        <f t="shared" si="22"/>
        <v>0</v>
      </c>
      <c r="AP37" s="32">
        <f t="shared" si="19"/>
        <v>0</v>
      </c>
      <c r="AQ37" s="33">
        <f t="shared" si="0"/>
        <v>0</v>
      </c>
      <c r="AR37" s="82">
        <f t="shared" si="1"/>
        <v>0</v>
      </c>
      <c r="AS37" s="9"/>
      <c r="AT37" s="9"/>
      <c r="AU37" s="9"/>
      <c r="AV37" s="9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2"/>
      <c r="CD37" s="62"/>
      <c r="CE37" s="62"/>
      <c r="CF37" s="62"/>
      <c r="CG37" s="62"/>
    </row>
    <row r="38" spans="1:85" s="4" customFormat="1" ht="64.5" customHeight="1" outlineLevel="1" x14ac:dyDescent="0.25">
      <c r="A38" s="25">
        <f t="shared" si="30"/>
        <v>26</v>
      </c>
      <c r="B38" s="26" t="s">
        <v>15</v>
      </c>
      <c r="C38" s="27" t="s">
        <v>75</v>
      </c>
      <c r="D38" s="28" t="s">
        <v>18</v>
      </c>
      <c r="E38" s="29">
        <f t="shared" si="2"/>
        <v>72</v>
      </c>
      <c r="F38" s="29">
        <v>0</v>
      </c>
      <c r="G38" s="30">
        <f t="shared" si="3"/>
        <v>0</v>
      </c>
      <c r="H38" s="30"/>
      <c r="I38" s="30">
        <f t="shared" si="4"/>
        <v>0</v>
      </c>
      <c r="J38" s="31">
        <v>72</v>
      </c>
      <c r="K38" s="30">
        <f t="shared" si="5"/>
        <v>0</v>
      </c>
      <c r="L38" s="30"/>
      <c r="M38" s="30">
        <f t="shared" si="6"/>
        <v>0</v>
      </c>
      <c r="N38" s="29">
        <v>0</v>
      </c>
      <c r="O38" s="30">
        <f t="shared" si="7"/>
        <v>0</v>
      </c>
      <c r="P38" s="30"/>
      <c r="Q38" s="30">
        <f t="shared" si="8"/>
        <v>0</v>
      </c>
      <c r="R38" s="30">
        <v>0</v>
      </c>
      <c r="S38" s="30">
        <f t="shared" si="32"/>
        <v>0</v>
      </c>
      <c r="T38" s="30"/>
      <c r="U38" s="30">
        <f t="shared" si="9"/>
        <v>0</v>
      </c>
      <c r="V38" s="29">
        <v>0</v>
      </c>
      <c r="W38" s="30">
        <f t="shared" si="21"/>
        <v>0</v>
      </c>
      <c r="X38" s="30"/>
      <c r="Y38" s="30">
        <f t="shared" si="11"/>
        <v>0</v>
      </c>
      <c r="Z38" s="31">
        <v>0</v>
      </c>
      <c r="AA38" s="30">
        <f t="shared" si="12"/>
        <v>0</v>
      </c>
      <c r="AB38" s="30"/>
      <c r="AC38" s="30">
        <f t="shared" si="13"/>
        <v>0</v>
      </c>
      <c r="AD38" s="31">
        <v>0</v>
      </c>
      <c r="AE38" s="30">
        <f t="shared" si="14"/>
        <v>0</v>
      </c>
      <c r="AF38" s="30"/>
      <c r="AG38" s="30">
        <f t="shared" si="15"/>
        <v>0</v>
      </c>
      <c r="AH38" s="30">
        <f t="shared" si="16"/>
        <v>0</v>
      </c>
      <c r="AI38" s="30">
        <f t="shared" si="29"/>
        <v>0</v>
      </c>
      <c r="AJ38" s="31">
        <v>0</v>
      </c>
      <c r="AK38" s="30" t="s">
        <v>314</v>
      </c>
      <c r="AL38" s="32">
        <v>0</v>
      </c>
      <c r="AM38" s="32">
        <f t="shared" si="18"/>
        <v>0</v>
      </c>
      <c r="AN38" s="32"/>
      <c r="AO38" s="32">
        <f t="shared" si="22"/>
        <v>0</v>
      </c>
      <c r="AP38" s="32">
        <f t="shared" si="19"/>
        <v>0</v>
      </c>
      <c r="AQ38" s="33">
        <f t="shared" si="0"/>
        <v>0</v>
      </c>
      <c r="AR38" s="82">
        <f t="shared" si="1"/>
        <v>0</v>
      </c>
      <c r="AS38" s="9"/>
      <c r="AT38" s="9"/>
      <c r="AU38" s="9"/>
      <c r="AV38" s="9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2"/>
      <c r="CD38" s="62"/>
      <c r="CE38" s="62"/>
      <c r="CF38" s="62"/>
      <c r="CG38" s="62"/>
    </row>
    <row r="39" spans="1:85" s="4" customFormat="1" ht="64.5" customHeight="1" outlineLevel="1" x14ac:dyDescent="0.25">
      <c r="A39" s="25">
        <f t="shared" si="30"/>
        <v>27</v>
      </c>
      <c r="B39" s="26" t="s">
        <v>15</v>
      </c>
      <c r="C39" s="27" t="s">
        <v>76</v>
      </c>
      <c r="D39" s="28" t="s">
        <v>18</v>
      </c>
      <c r="E39" s="29">
        <f t="shared" si="2"/>
        <v>44</v>
      </c>
      <c r="F39" s="29">
        <v>0</v>
      </c>
      <c r="G39" s="30">
        <f t="shared" si="3"/>
        <v>0</v>
      </c>
      <c r="H39" s="30"/>
      <c r="I39" s="30">
        <f t="shared" si="4"/>
        <v>0</v>
      </c>
      <c r="J39" s="31">
        <v>44</v>
      </c>
      <c r="K39" s="30">
        <f t="shared" si="5"/>
        <v>0</v>
      </c>
      <c r="L39" s="30"/>
      <c r="M39" s="30">
        <f t="shared" si="6"/>
        <v>0</v>
      </c>
      <c r="N39" s="29">
        <v>0</v>
      </c>
      <c r="O39" s="30">
        <f t="shared" si="7"/>
        <v>0</v>
      </c>
      <c r="P39" s="30"/>
      <c r="Q39" s="30">
        <f t="shared" si="8"/>
        <v>0</v>
      </c>
      <c r="R39" s="30">
        <v>0</v>
      </c>
      <c r="S39" s="30">
        <f t="shared" si="32"/>
        <v>0</v>
      </c>
      <c r="T39" s="30"/>
      <c r="U39" s="30">
        <f t="shared" si="9"/>
        <v>0</v>
      </c>
      <c r="V39" s="29">
        <v>0</v>
      </c>
      <c r="W39" s="30">
        <f t="shared" si="21"/>
        <v>0</v>
      </c>
      <c r="X39" s="30"/>
      <c r="Y39" s="30">
        <f t="shared" si="11"/>
        <v>0</v>
      </c>
      <c r="Z39" s="31">
        <v>0</v>
      </c>
      <c r="AA39" s="30">
        <f t="shared" si="12"/>
        <v>0</v>
      </c>
      <c r="AB39" s="30"/>
      <c r="AC39" s="30">
        <f t="shared" si="13"/>
        <v>0</v>
      </c>
      <c r="AD39" s="31">
        <v>0</v>
      </c>
      <c r="AE39" s="30">
        <f t="shared" si="14"/>
        <v>0</v>
      </c>
      <c r="AF39" s="30"/>
      <c r="AG39" s="30">
        <f t="shared" si="15"/>
        <v>0</v>
      </c>
      <c r="AH39" s="30">
        <f t="shared" si="16"/>
        <v>0</v>
      </c>
      <c r="AI39" s="30">
        <f t="shared" si="29"/>
        <v>0</v>
      </c>
      <c r="AJ39" s="31">
        <v>0</v>
      </c>
      <c r="AK39" s="30" t="s">
        <v>314</v>
      </c>
      <c r="AL39" s="32">
        <v>0</v>
      </c>
      <c r="AM39" s="32">
        <f t="shared" si="18"/>
        <v>0</v>
      </c>
      <c r="AN39" s="32"/>
      <c r="AO39" s="32">
        <f t="shared" si="22"/>
        <v>0</v>
      </c>
      <c r="AP39" s="32">
        <f t="shared" si="19"/>
        <v>0</v>
      </c>
      <c r="AQ39" s="33">
        <f t="shared" si="0"/>
        <v>0</v>
      </c>
      <c r="AR39" s="82">
        <f t="shared" si="1"/>
        <v>0</v>
      </c>
      <c r="AS39" s="9"/>
      <c r="AT39" s="9"/>
      <c r="AU39" s="9"/>
      <c r="AV39" s="9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2"/>
      <c r="CD39" s="62"/>
      <c r="CE39" s="62"/>
      <c r="CF39" s="62"/>
      <c r="CG39" s="62"/>
    </row>
    <row r="40" spans="1:85" s="4" customFormat="1" ht="64.5" customHeight="1" outlineLevel="1" x14ac:dyDescent="0.25">
      <c r="A40" s="25">
        <f t="shared" si="30"/>
        <v>28</v>
      </c>
      <c r="B40" s="26" t="s">
        <v>15</v>
      </c>
      <c r="C40" s="27" t="s">
        <v>77</v>
      </c>
      <c r="D40" s="28" t="s">
        <v>18</v>
      </c>
      <c r="E40" s="29">
        <f t="shared" si="2"/>
        <v>46</v>
      </c>
      <c r="F40" s="29">
        <v>0</v>
      </c>
      <c r="G40" s="30">
        <f t="shared" si="3"/>
        <v>0</v>
      </c>
      <c r="H40" s="30"/>
      <c r="I40" s="30">
        <f t="shared" si="4"/>
        <v>0</v>
      </c>
      <c r="J40" s="31">
        <v>46</v>
      </c>
      <c r="K40" s="30">
        <f t="shared" si="5"/>
        <v>0</v>
      </c>
      <c r="L40" s="30"/>
      <c r="M40" s="30">
        <f t="shared" si="6"/>
        <v>0</v>
      </c>
      <c r="N40" s="29">
        <v>0</v>
      </c>
      <c r="O40" s="30">
        <f t="shared" si="7"/>
        <v>0</v>
      </c>
      <c r="P40" s="30"/>
      <c r="Q40" s="30">
        <f t="shared" si="8"/>
        <v>0</v>
      </c>
      <c r="R40" s="30">
        <v>0</v>
      </c>
      <c r="S40" s="30">
        <v>4.2</v>
      </c>
      <c r="T40" s="30"/>
      <c r="U40" s="30">
        <f t="shared" si="9"/>
        <v>0</v>
      </c>
      <c r="V40" s="29">
        <v>0</v>
      </c>
      <c r="W40" s="30">
        <f t="shared" si="21"/>
        <v>0</v>
      </c>
      <c r="X40" s="30"/>
      <c r="Y40" s="30">
        <f t="shared" si="11"/>
        <v>0</v>
      </c>
      <c r="Z40" s="31">
        <v>0</v>
      </c>
      <c r="AA40" s="30">
        <f t="shared" si="12"/>
        <v>0</v>
      </c>
      <c r="AB40" s="30"/>
      <c r="AC40" s="30">
        <f t="shared" si="13"/>
        <v>0</v>
      </c>
      <c r="AD40" s="31">
        <v>0</v>
      </c>
      <c r="AE40" s="30">
        <f t="shared" si="14"/>
        <v>0</v>
      </c>
      <c r="AF40" s="30"/>
      <c r="AG40" s="30">
        <f t="shared" si="15"/>
        <v>0</v>
      </c>
      <c r="AH40" s="30">
        <f t="shared" si="16"/>
        <v>0</v>
      </c>
      <c r="AI40" s="30">
        <f t="shared" si="29"/>
        <v>0</v>
      </c>
      <c r="AJ40" s="31">
        <v>0</v>
      </c>
      <c r="AK40" s="30" t="s">
        <v>314</v>
      </c>
      <c r="AL40" s="32">
        <v>0</v>
      </c>
      <c r="AM40" s="32">
        <f t="shared" si="18"/>
        <v>0</v>
      </c>
      <c r="AN40" s="32"/>
      <c r="AO40" s="32">
        <f t="shared" si="22"/>
        <v>0</v>
      </c>
      <c r="AP40" s="32">
        <f t="shared" si="19"/>
        <v>0</v>
      </c>
      <c r="AQ40" s="33">
        <f t="shared" si="0"/>
        <v>0</v>
      </c>
      <c r="AR40" s="82">
        <f t="shared" si="1"/>
        <v>0</v>
      </c>
      <c r="AS40" s="9"/>
      <c r="AT40" s="9"/>
      <c r="AU40" s="9"/>
      <c r="AV40" s="9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2"/>
      <c r="CD40" s="62"/>
      <c r="CE40" s="62"/>
      <c r="CF40" s="62"/>
      <c r="CG40" s="62"/>
    </row>
    <row r="41" spans="1:85" s="4" customFormat="1" ht="64.5" customHeight="1" outlineLevel="1" x14ac:dyDescent="0.25">
      <c r="A41" s="25">
        <f t="shared" si="30"/>
        <v>29</v>
      </c>
      <c r="B41" s="26" t="s">
        <v>15</v>
      </c>
      <c r="C41" s="27" t="s">
        <v>78</v>
      </c>
      <c r="D41" s="28" t="s">
        <v>18</v>
      </c>
      <c r="E41" s="29">
        <f t="shared" si="2"/>
        <v>50</v>
      </c>
      <c r="F41" s="29">
        <v>0</v>
      </c>
      <c r="G41" s="30">
        <f t="shared" si="3"/>
        <v>0</v>
      </c>
      <c r="H41" s="30"/>
      <c r="I41" s="30">
        <f t="shared" si="4"/>
        <v>0</v>
      </c>
      <c r="J41" s="31">
        <v>50</v>
      </c>
      <c r="K41" s="30">
        <f t="shared" si="5"/>
        <v>0</v>
      </c>
      <c r="L41" s="30"/>
      <c r="M41" s="30">
        <f t="shared" si="6"/>
        <v>0</v>
      </c>
      <c r="N41" s="29">
        <v>0</v>
      </c>
      <c r="O41" s="30">
        <f t="shared" si="7"/>
        <v>0</v>
      </c>
      <c r="P41" s="30"/>
      <c r="Q41" s="30">
        <f t="shared" si="8"/>
        <v>0</v>
      </c>
      <c r="R41" s="30">
        <v>0</v>
      </c>
      <c r="S41" s="30">
        <f t="shared" ref="S41:S44" si="33">T41/1.18</f>
        <v>0</v>
      </c>
      <c r="T41" s="30"/>
      <c r="U41" s="30">
        <f t="shared" si="9"/>
        <v>0</v>
      </c>
      <c r="V41" s="29">
        <v>0</v>
      </c>
      <c r="W41" s="30">
        <f t="shared" si="21"/>
        <v>0</v>
      </c>
      <c r="X41" s="30"/>
      <c r="Y41" s="30">
        <f t="shared" si="11"/>
        <v>0</v>
      </c>
      <c r="Z41" s="31">
        <v>0</v>
      </c>
      <c r="AA41" s="30">
        <f t="shared" si="12"/>
        <v>0</v>
      </c>
      <c r="AB41" s="30"/>
      <c r="AC41" s="30">
        <f t="shared" si="13"/>
        <v>0</v>
      </c>
      <c r="AD41" s="31">
        <v>0</v>
      </c>
      <c r="AE41" s="30">
        <f t="shared" si="14"/>
        <v>0</v>
      </c>
      <c r="AF41" s="30"/>
      <c r="AG41" s="30">
        <f t="shared" si="15"/>
        <v>0</v>
      </c>
      <c r="AH41" s="30">
        <f t="shared" si="16"/>
        <v>0</v>
      </c>
      <c r="AI41" s="30">
        <f t="shared" si="29"/>
        <v>0</v>
      </c>
      <c r="AJ41" s="31">
        <v>0</v>
      </c>
      <c r="AK41" s="30" t="s">
        <v>314</v>
      </c>
      <c r="AL41" s="32">
        <v>0</v>
      </c>
      <c r="AM41" s="32">
        <f t="shared" si="18"/>
        <v>0</v>
      </c>
      <c r="AN41" s="32"/>
      <c r="AO41" s="32">
        <f t="shared" si="22"/>
        <v>0</v>
      </c>
      <c r="AP41" s="32">
        <f t="shared" si="19"/>
        <v>0</v>
      </c>
      <c r="AQ41" s="33">
        <f t="shared" si="0"/>
        <v>0</v>
      </c>
      <c r="AR41" s="82">
        <f t="shared" si="1"/>
        <v>0</v>
      </c>
      <c r="AS41" s="9"/>
      <c r="AT41" s="9"/>
      <c r="AU41" s="9"/>
      <c r="AV41" s="9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2"/>
      <c r="CD41" s="62"/>
      <c r="CE41" s="62"/>
      <c r="CF41" s="62"/>
      <c r="CG41" s="62"/>
    </row>
    <row r="42" spans="1:85" s="62" customFormat="1" ht="64.5" customHeight="1" outlineLevel="1" x14ac:dyDescent="0.25">
      <c r="A42" s="25">
        <f t="shared" si="30"/>
        <v>30</v>
      </c>
      <c r="B42" s="26" t="s">
        <v>309</v>
      </c>
      <c r="C42" s="27" t="s">
        <v>79</v>
      </c>
      <c r="D42" s="28" t="s">
        <v>18</v>
      </c>
      <c r="E42" s="29">
        <f t="shared" si="2"/>
        <v>6</v>
      </c>
      <c r="F42" s="29">
        <v>0</v>
      </c>
      <c r="G42" s="30">
        <f t="shared" si="3"/>
        <v>0</v>
      </c>
      <c r="H42" s="30"/>
      <c r="I42" s="30">
        <f t="shared" si="4"/>
        <v>0</v>
      </c>
      <c r="J42" s="31">
        <v>6</v>
      </c>
      <c r="K42" s="30">
        <f t="shared" si="5"/>
        <v>0</v>
      </c>
      <c r="L42" s="30"/>
      <c r="M42" s="30">
        <f t="shared" si="6"/>
        <v>0</v>
      </c>
      <c r="N42" s="29">
        <v>0</v>
      </c>
      <c r="O42" s="30">
        <f t="shared" si="7"/>
        <v>0</v>
      </c>
      <c r="P42" s="30"/>
      <c r="Q42" s="30">
        <f t="shared" si="8"/>
        <v>0</v>
      </c>
      <c r="R42" s="30">
        <v>0</v>
      </c>
      <c r="S42" s="30">
        <f t="shared" si="33"/>
        <v>0</v>
      </c>
      <c r="T42" s="30"/>
      <c r="U42" s="30">
        <f t="shared" si="9"/>
        <v>0</v>
      </c>
      <c r="V42" s="29">
        <v>0</v>
      </c>
      <c r="W42" s="30">
        <f t="shared" si="21"/>
        <v>0</v>
      </c>
      <c r="X42" s="30"/>
      <c r="Y42" s="30">
        <f t="shared" si="11"/>
        <v>0</v>
      </c>
      <c r="Z42" s="31">
        <v>0</v>
      </c>
      <c r="AA42" s="30">
        <f t="shared" si="12"/>
        <v>0</v>
      </c>
      <c r="AB42" s="30"/>
      <c r="AC42" s="30">
        <f t="shared" si="13"/>
        <v>0</v>
      </c>
      <c r="AD42" s="31">
        <v>0</v>
      </c>
      <c r="AE42" s="30">
        <f t="shared" si="14"/>
        <v>0</v>
      </c>
      <c r="AF42" s="30"/>
      <c r="AG42" s="30">
        <f t="shared" si="15"/>
        <v>0</v>
      </c>
      <c r="AH42" s="30">
        <f t="shared" si="16"/>
        <v>0</v>
      </c>
      <c r="AI42" s="30">
        <f t="shared" si="29"/>
        <v>0</v>
      </c>
      <c r="AJ42" s="31">
        <v>0</v>
      </c>
      <c r="AK42" s="30" t="s">
        <v>314</v>
      </c>
      <c r="AL42" s="32">
        <v>0</v>
      </c>
      <c r="AM42" s="32">
        <f t="shared" si="18"/>
        <v>0</v>
      </c>
      <c r="AN42" s="32"/>
      <c r="AO42" s="32">
        <f t="shared" si="22"/>
        <v>0</v>
      </c>
      <c r="AP42" s="32">
        <f t="shared" si="19"/>
        <v>0</v>
      </c>
      <c r="AQ42" s="33">
        <f t="shared" si="0"/>
        <v>0</v>
      </c>
      <c r="AR42" s="82">
        <f t="shared" si="1"/>
        <v>0</v>
      </c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</row>
    <row r="43" spans="1:85" s="4" customFormat="1" ht="64.5" customHeight="1" outlineLevel="1" x14ac:dyDescent="0.25">
      <c r="A43" s="25">
        <f>A42+1</f>
        <v>31</v>
      </c>
      <c r="B43" s="26" t="s">
        <v>50</v>
      </c>
      <c r="C43" s="27" t="s">
        <v>41</v>
      </c>
      <c r="D43" s="28" t="s">
        <v>18</v>
      </c>
      <c r="E43" s="29">
        <f t="shared" si="2"/>
        <v>529.35000000000014</v>
      </c>
      <c r="F43" s="29">
        <f>62.08+216.42</f>
        <v>278.5</v>
      </c>
      <c r="G43" s="30">
        <f t="shared" si="3"/>
        <v>0</v>
      </c>
      <c r="H43" s="30"/>
      <c r="I43" s="30">
        <f t="shared" si="4"/>
        <v>0</v>
      </c>
      <c r="J43" s="31">
        <f>10.8+4.7</f>
        <v>15.5</v>
      </c>
      <c r="K43" s="30">
        <f t="shared" si="5"/>
        <v>0</v>
      </c>
      <c r="L43" s="30"/>
      <c r="M43" s="30">
        <f t="shared" si="6"/>
        <v>0</v>
      </c>
      <c r="N43" s="29">
        <v>0</v>
      </c>
      <c r="O43" s="30">
        <f t="shared" si="7"/>
        <v>0</v>
      </c>
      <c r="P43" s="30"/>
      <c r="Q43" s="30">
        <f t="shared" si="8"/>
        <v>0</v>
      </c>
      <c r="R43" s="30">
        <f>59.6</f>
        <v>59.6</v>
      </c>
      <c r="S43" s="30">
        <f t="shared" si="33"/>
        <v>0</v>
      </c>
      <c r="T43" s="30"/>
      <c r="U43" s="30">
        <f t="shared" si="9"/>
        <v>0</v>
      </c>
      <c r="V43" s="29">
        <f>34.6+48.8+20.9+65.2+1.8</f>
        <v>171.3</v>
      </c>
      <c r="W43" s="30">
        <f t="shared" si="21"/>
        <v>0</v>
      </c>
      <c r="X43" s="30"/>
      <c r="Y43" s="30">
        <f t="shared" si="11"/>
        <v>0</v>
      </c>
      <c r="Z43" s="31">
        <v>0</v>
      </c>
      <c r="AA43" s="30">
        <f t="shared" si="12"/>
        <v>0</v>
      </c>
      <c r="AB43" s="30"/>
      <c r="AC43" s="30">
        <f t="shared" si="13"/>
        <v>0</v>
      </c>
      <c r="AD43" s="31">
        <v>4.45</v>
      </c>
      <c r="AE43" s="30">
        <f t="shared" si="14"/>
        <v>0</v>
      </c>
      <c r="AF43" s="30"/>
      <c r="AG43" s="30">
        <f t="shared" si="15"/>
        <v>0</v>
      </c>
      <c r="AH43" s="30">
        <f t="shared" si="16"/>
        <v>0</v>
      </c>
      <c r="AI43" s="30">
        <f t="shared" si="29"/>
        <v>0</v>
      </c>
      <c r="AJ43" s="31">
        <v>0</v>
      </c>
      <c r="AK43" s="30" t="s">
        <v>314</v>
      </c>
      <c r="AL43" s="32">
        <v>0</v>
      </c>
      <c r="AM43" s="32">
        <f t="shared" si="18"/>
        <v>0</v>
      </c>
      <c r="AN43" s="32"/>
      <c r="AO43" s="32">
        <f t="shared" si="22"/>
        <v>0</v>
      </c>
      <c r="AP43" s="32">
        <f t="shared" si="19"/>
        <v>0</v>
      </c>
      <c r="AQ43" s="33">
        <f t="shared" si="0"/>
        <v>0</v>
      </c>
      <c r="AR43" s="82">
        <f t="shared" si="1"/>
        <v>0</v>
      </c>
      <c r="AS43" s="9"/>
      <c r="AT43" s="9"/>
      <c r="AU43" s="9"/>
      <c r="AV43" s="9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2"/>
      <c r="CD43" s="62"/>
      <c r="CE43" s="62"/>
      <c r="CF43" s="62"/>
      <c r="CG43" s="62"/>
    </row>
    <row r="44" spans="1:85" s="62" customFormat="1" ht="64.5" customHeight="1" outlineLevel="1" x14ac:dyDescent="0.25">
      <c r="A44" s="25">
        <f t="shared" si="30"/>
        <v>32</v>
      </c>
      <c r="B44" s="109" t="s">
        <v>50</v>
      </c>
      <c r="C44" s="53" t="s">
        <v>310</v>
      </c>
      <c r="D44" s="54" t="s">
        <v>18</v>
      </c>
      <c r="E44" s="29">
        <f t="shared" si="2"/>
        <v>3992.7</v>
      </c>
      <c r="F44" s="57">
        <f>141+197.2+11.4+128.6</f>
        <v>478.19999999999993</v>
      </c>
      <c r="G44" s="58">
        <f t="shared" si="3"/>
        <v>0</v>
      </c>
      <c r="H44" s="30"/>
      <c r="I44" s="58">
        <f t="shared" si="4"/>
        <v>0</v>
      </c>
      <c r="J44" s="59">
        <v>0</v>
      </c>
      <c r="K44" s="58">
        <f t="shared" si="5"/>
        <v>0</v>
      </c>
      <c r="L44" s="30"/>
      <c r="M44" s="58">
        <f t="shared" si="6"/>
        <v>0</v>
      </c>
      <c r="N44" s="57">
        <v>0</v>
      </c>
      <c r="O44" s="58">
        <f t="shared" si="7"/>
        <v>0</v>
      </c>
      <c r="P44" s="30"/>
      <c r="Q44" s="58">
        <f t="shared" si="8"/>
        <v>0</v>
      </c>
      <c r="R44" s="58">
        <v>2404.1</v>
      </c>
      <c r="S44" s="58">
        <f t="shared" si="33"/>
        <v>0</v>
      </c>
      <c r="T44" s="30"/>
      <c r="U44" s="58">
        <f t="shared" si="9"/>
        <v>0</v>
      </c>
      <c r="V44" s="57">
        <f>180.2+43.5+58.9+40.8+12.9+26.3+33.8+51.5+38.8+434.2+71.8+47.7</f>
        <v>1040.3999999999999</v>
      </c>
      <c r="W44" s="58">
        <f t="shared" si="21"/>
        <v>0</v>
      </c>
      <c r="X44" s="30"/>
      <c r="Y44" s="58">
        <f t="shared" si="11"/>
        <v>0</v>
      </c>
      <c r="Z44" s="59">
        <v>0</v>
      </c>
      <c r="AA44" s="58">
        <f t="shared" si="12"/>
        <v>0</v>
      </c>
      <c r="AB44" s="30"/>
      <c r="AC44" s="58">
        <f t="shared" si="13"/>
        <v>0</v>
      </c>
      <c r="AD44" s="59">
        <v>70</v>
      </c>
      <c r="AE44" s="58">
        <f t="shared" si="14"/>
        <v>0</v>
      </c>
      <c r="AF44" s="58"/>
      <c r="AG44" s="58">
        <f t="shared" si="15"/>
        <v>0</v>
      </c>
      <c r="AH44" s="30">
        <f t="shared" si="16"/>
        <v>0</v>
      </c>
      <c r="AI44" s="30">
        <f t="shared" si="29"/>
        <v>0</v>
      </c>
      <c r="AJ44" s="59">
        <v>4157.2</v>
      </c>
      <c r="AK44" s="30" t="s">
        <v>314</v>
      </c>
      <c r="AL44" s="60">
        <v>0</v>
      </c>
      <c r="AM44" s="60">
        <f t="shared" si="18"/>
        <v>0</v>
      </c>
      <c r="AN44" s="32"/>
      <c r="AO44" s="60">
        <f t="shared" si="22"/>
        <v>0</v>
      </c>
      <c r="AP44" s="60">
        <f>AN44*AJ44</f>
        <v>0</v>
      </c>
      <c r="AQ44" s="58">
        <f t="shared" si="0"/>
        <v>0</v>
      </c>
      <c r="AR44" s="110">
        <f t="shared" si="1"/>
        <v>0</v>
      </c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5" s="62" customFormat="1" ht="64.5" customHeight="1" outlineLevel="1" x14ac:dyDescent="0.25">
      <c r="A45" s="25">
        <f t="shared" si="30"/>
        <v>33</v>
      </c>
      <c r="B45" s="98" t="s">
        <v>50</v>
      </c>
      <c r="C45" s="99" t="s">
        <v>80</v>
      </c>
      <c r="D45" s="100" t="s">
        <v>18</v>
      </c>
      <c r="E45" s="29">
        <f t="shared" si="2"/>
        <v>1811.9</v>
      </c>
      <c r="F45" s="36">
        <v>1081.8</v>
      </c>
      <c r="G45" s="30">
        <f t="shared" si="3"/>
        <v>0</v>
      </c>
      <c r="H45" s="30"/>
      <c r="I45" s="37">
        <f t="shared" si="4"/>
        <v>0</v>
      </c>
      <c r="J45" s="38">
        <v>0</v>
      </c>
      <c r="K45" s="37">
        <f t="shared" si="5"/>
        <v>0</v>
      </c>
      <c r="L45" s="30"/>
      <c r="M45" s="37">
        <f t="shared" si="6"/>
        <v>0</v>
      </c>
      <c r="N45" s="29">
        <v>0</v>
      </c>
      <c r="O45" s="37">
        <f t="shared" si="7"/>
        <v>0</v>
      </c>
      <c r="P45" s="30"/>
      <c r="Q45" s="37">
        <f t="shared" si="8"/>
        <v>0</v>
      </c>
      <c r="R45" s="37">
        <v>9.9</v>
      </c>
      <c r="S45" s="30">
        <f t="shared" ref="S45:S46" si="34">T45/1.18</f>
        <v>0</v>
      </c>
      <c r="T45" s="30"/>
      <c r="U45" s="37">
        <f t="shared" si="9"/>
        <v>0</v>
      </c>
      <c r="V45" s="36">
        <v>623.79999999999995</v>
      </c>
      <c r="W45" s="30">
        <f t="shared" si="21"/>
        <v>0</v>
      </c>
      <c r="X45" s="30"/>
      <c r="Y45" s="37">
        <f t="shared" si="11"/>
        <v>0</v>
      </c>
      <c r="Z45" s="38">
        <v>73.2</v>
      </c>
      <c r="AA45" s="30">
        <f t="shared" si="12"/>
        <v>0</v>
      </c>
      <c r="AB45" s="30"/>
      <c r="AC45" s="37">
        <f t="shared" si="13"/>
        <v>0</v>
      </c>
      <c r="AD45" s="38">
        <v>23.2</v>
      </c>
      <c r="AE45" s="37">
        <f t="shared" si="14"/>
        <v>0</v>
      </c>
      <c r="AF45" s="30"/>
      <c r="AG45" s="37">
        <f t="shared" si="15"/>
        <v>0</v>
      </c>
      <c r="AH45" s="30">
        <f t="shared" si="16"/>
        <v>0</v>
      </c>
      <c r="AI45" s="30">
        <f t="shared" si="29"/>
        <v>0</v>
      </c>
      <c r="AJ45" s="38">
        <v>0</v>
      </c>
      <c r="AK45" s="30" t="s">
        <v>314</v>
      </c>
      <c r="AL45" s="32">
        <v>0</v>
      </c>
      <c r="AM45" s="32">
        <f t="shared" si="18"/>
        <v>0</v>
      </c>
      <c r="AN45" s="32"/>
      <c r="AO45" s="39">
        <f t="shared" si="22"/>
        <v>0</v>
      </c>
      <c r="AP45" s="39">
        <f>AN45*AJ45</f>
        <v>0</v>
      </c>
      <c r="AQ45" s="33">
        <f t="shared" si="0"/>
        <v>0</v>
      </c>
      <c r="AR45" s="82">
        <f t="shared" si="1"/>
        <v>0</v>
      </c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</row>
    <row r="46" spans="1:85" s="63" customFormat="1" ht="64.5" customHeight="1" outlineLevel="1" x14ac:dyDescent="0.25">
      <c r="A46" s="25">
        <f t="shared" si="30"/>
        <v>34</v>
      </c>
      <c r="B46" s="109" t="s">
        <v>50</v>
      </c>
      <c r="C46" s="53" t="s">
        <v>229</v>
      </c>
      <c r="D46" s="54" t="s">
        <v>18</v>
      </c>
      <c r="E46" s="29">
        <f t="shared" si="2"/>
        <v>5439.8</v>
      </c>
      <c r="F46" s="57">
        <v>1798.4</v>
      </c>
      <c r="G46" s="30">
        <f t="shared" si="3"/>
        <v>0</v>
      </c>
      <c r="H46" s="30"/>
      <c r="I46" s="58">
        <f t="shared" si="4"/>
        <v>0</v>
      </c>
      <c r="J46" s="59">
        <v>1417</v>
      </c>
      <c r="K46" s="58">
        <f t="shared" si="5"/>
        <v>0</v>
      </c>
      <c r="L46" s="30"/>
      <c r="M46" s="58">
        <f t="shared" si="6"/>
        <v>0</v>
      </c>
      <c r="N46" s="29">
        <v>0</v>
      </c>
      <c r="O46" s="58">
        <f t="shared" si="7"/>
        <v>0</v>
      </c>
      <c r="P46" s="30"/>
      <c r="Q46" s="58">
        <f t="shared" si="8"/>
        <v>0</v>
      </c>
      <c r="R46" s="58">
        <v>168.2</v>
      </c>
      <c r="S46" s="30">
        <f t="shared" si="34"/>
        <v>0</v>
      </c>
      <c r="T46" s="30"/>
      <c r="U46" s="58">
        <f t="shared" si="9"/>
        <v>0</v>
      </c>
      <c r="V46" s="57">
        <f>1656.3+305.6</f>
        <v>1961.9</v>
      </c>
      <c r="W46" s="30">
        <f t="shared" si="21"/>
        <v>0</v>
      </c>
      <c r="X46" s="30"/>
      <c r="Y46" s="58">
        <f t="shared" si="11"/>
        <v>0</v>
      </c>
      <c r="Z46" s="59">
        <v>0</v>
      </c>
      <c r="AA46" s="30">
        <f t="shared" si="12"/>
        <v>0</v>
      </c>
      <c r="AB46" s="30"/>
      <c r="AC46" s="58">
        <f t="shared" si="13"/>
        <v>0</v>
      </c>
      <c r="AD46" s="59">
        <v>94.3</v>
      </c>
      <c r="AE46" s="58">
        <f t="shared" si="14"/>
        <v>0</v>
      </c>
      <c r="AF46" s="30"/>
      <c r="AG46" s="58">
        <f t="shared" si="15"/>
        <v>0</v>
      </c>
      <c r="AH46" s="30">
        <f t="shared" si="16"/>
        <v>0</v>
      </c>
      <c r="AI46" s="30">
        <f t="shared" si="29"/>
        <v>0</v>
      </c>
      <c r="AJ46" s="59">
        <v>0</v>
      </c>
      <c r="AK46" s="30" t="s">
        <v>314</v>
      </c>
      <c r="AL46" s="32">
        <v>0</v>
      </c>
      <c r="AM46" s="32">
        <f t="shared" si="18"/>
        <v>0</v>
      </c>
      <c r="AN46" s="32"/>
      <c r="AO46" s="60">
        <f t="shared" si="22"/>
        <v>0</v>
      </c>
      <c r="AP46" s="60">
        <f>AN46*AJ46</f>
        <v>0</v>
      </c>
      <c r="AQ46" s="33">
        <f t="shared" si="0"/>
        <v>0</v>
      </c>
      <c r="AR46" s="82">
        <f t="shared" si="1"/>
        <v>0</v>
      </c>
      <c r="AS46" s="119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112"/>
    </row>
    <row r="47" spans="1:85" s="56" customFormat="1" ht="64.5" customHeight="1" outlineLevel="1" x14ac:dyDescent="0.25">
      <c r="A47" s="147" t="s">
        <v>46</v>
      </c>
      <c r="B47" s="148"/>
      <c r="C47" s="148"/>
      <c r="D47" s="102"/>
      <c r="E47" s="29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11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30"/>
      <c r="AI47" s="30"/>
      <c r="AJ47" s="102"/>
      <c r="AK47" s="30"/>
      <c r="AL47" s="102"/>
      <c r="AM47" s="102"/>
      <c r="AN47" s="122"/>
      <c r="AO47" s="102"/>
      <c r="AP47" s="102"/>
      <c r="AQ47" s="111"/>
      <c r="AR47" s="127"/>
      <c r="AS47" s="120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55"/>
    </row>
    <row r="48" spans="1:85" s="4" customFormat="1" ht="64.5" customHeight="1" outlineLevel="1" x14ac:dyDescent="0.25">
      <c r="A48" s="25">
        <f>A46+1</f>
        <v>35</v>
      </c>
      <c r="B48" s="26" t="s">
        <v>272</v>
      </c>
      <c r="C48" s="27" t="s">
        <v>65</v>
      </c>
      <c r="D48" s="28" t="s">
        <v>18</v>
      </c>
      <c r="E48" s="29">
        <f t="shared" si="2"/>
        <v>1213.0999999999999</v>
      </c>
      <c r="F48" s="29">
        <f>179+228+87.7</f>
        <v>494.7</v>
      </c>
      <c r="G48" s="30">
        <f t="shared" si="3"/>
        <v>0</v>
      </c>
      <c r="H48" s="30"/>
      <c r="I48" s="30">
        <f t="shared" si="4"/>
        <v>0</v>
      </c>
      <c r="J48" s="31">
        <v>160.5</v>
      </c>
      <c r="K48" s="30">
        <f t="shared" si="5"/>
        <v>0</v>
      </c>
      <c r="L48" s="30"/>
      <c r="M48" s="30">
        <f t="shared" si="6"/>
        <v>0</v>
      </c>
      <c r="N48" s="29">
        <f>52</f>
        <v>52</v>
      </c>
      <c r="O48" s="30">
        <f t="shared" si="7"/>
        <v>0</v>
      </c>
      <c r="P48" s="30"/>
      <c r="Q48" s="30">
        <f t="shared" si="8"/>
        <v>0</v>
      </c>
      <c r="R48" s="30">
        <v>0</v>
      </c>
      <c r="S48" s="30">
        <f t="shared" ref="S48:S50" si="35">T48/1.18</f>
        <v>0</v>
      </c>
      <c r="T48" s="30"/>
      <c r="U48" s="30">
        <f t="shared" si="9"/>
        <v>0</v>
      </c>
      <c r="V48" s="29">
        <f>84.2+10.8+44.9+180</f>
        <v>319.89999999999998</v>
      </c>
      <c r="W48" s="30">
        <f t="shared" si="21"/>
        <v>0</v>
      </c>
      <c r="X48" s="30"/>
      <c r="Y48" s="30">
        <f t="shared" si="11"/>
        <v>0</v>
      </c>
      <c r="Z48" s="31">
        <f>22+140.5</f>
        <v>162.5</v>
      </c>
      <c r="AA48" s="30">
        <f t="shared" si="12"/>
        <v>0</v>
      </c>
      <c r="AB48" s="30"/>
      <c r="AC48" s="30">
        <f t="shared" si="13"/>
        <v>0</v>
      </c>
      <c r="AD48" s="31">
        <f>9.4+14.1</f>
        <v>23.5</v>
      </c>
      <c r="AE48" s="30">
        <f t="shared" si="14"/>
        <v>0</v>
      </c>
      <c r="AF48" s="30"/>
      <c r="AG48" s="30">
        <f t="shared" si="15"/>
        <v>0</v>
      </c>
      <c r="AH48" s="30">
        <f t="shared" si="16"/>
        <v>0</v>
      </c>
      <c r="AI48" s="30">
        <f t="shared" si="29"/>
        <v>0</v>
      </c>
      <c r="AJ48" s="31">
        <f>631+540</f>
        <v>1171</v>
      </c>
      <c r="AK48" s="30" t="s">
        <v>314</v>
      </c>
      <c r="AL48" s="32">
        <v>0</v>
      </c>
      <c r="AM48" s="32">
        <f t="shared" ref="AM48:AM76" si="36">AN48/1.18</f>
        <v>0</v>
      </c>
      <c r="AN48" s="32"/>
      <c r="AO48" s="32">
        <f t="shared" si="22"/>
        <v>0</v>
      </c>
      <c r="AP48" s="32">
        <f t="shared" si="19"/>
        <v>0</v>
      </c>
      <c r="AQ48" s="33">
        <f t="shared" si="0"/>
        <v>0</v>
      </c>
      <c r="AR48" s="82">
        <f t="shared" si="1"/>
        <v>0</v>
      </c>
      <c r="AS48" s="9"/>
      <c r="AT48" s="9"/>
      <c r="AU48" s="9"/>
      <c r="AV48" s="9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2"/>
      <c r="CD48" s="62"/>
      <c r="CE48" s="62"/>
      <c r="CF48" s="62"/>
      <c r="CG48" s="62"/>
    </row>
    <row r="49" spans="1:85" s="4" customFormat="1" ht="56.25" outlineLevel="1" x14ac:dyDescent="0.25">
      <c r="A49" s="25">
        <f>A48+1</f>
        <v>36</v>
      </c>
      <c r="B49" s="26" t="s">
        <v>15</v>
      </c>
      <c r="C49" s="27" t="s">
        <v>81</v>
      </c>
      <c r="D49" s="28" t="s">
        <v>18</v>
      </c>
      <c r="E49" s="29">
        <f t="shared" si="2"/>
        <v>996.4</v>
      </c>
      <c r="F49" s="29">
        <f>70.4+149.4+146+47.9</f>
        <v>413.7</v>
      </c>
      <c r="G49" s="30">
        <f t="shared" si="3"/>
        <v>0</v>
      </c>
      <c r="H49" s="30"/>
      <c r="I49" s="30">
        <f t="shared" si="4"/>
        <v>0</v>
      </c>
      <c r="J49" s="31">
        <f>188.8-8.3</f>
        <v>180.5</v>
      </c>
      <c r="K49" s="30">
        <f t="shared" si="5"/>
        <v>0</v>
      </c>
      <c r="L49" s="30"/>
      <c r="M49" s="30">
        <f t="shared" si="6"/>
        <v>0</v>
      </c>
      <c r="N49" s="29">
        <v>0</v>
      </c>
      <c r="O49" s="30">
        <f t="shared" si="7"/>
        <v>0</v>
      </c>
      <c r="P49" s="30"/>
      <c r="Q49" s="30">
        <f t="shared" si="8"/>
        <v>0</v>
      </c>
      <c r="R49" s="30">
        <v>0</v>
      </c>
      <c r="S49" s="30">
        <f t="shared" si="35"/>
        <v>0</v>
      </c>
      <c r="T49" s="30"/>
      <c r="U49" s="30">
        <f t="shared" si="9"/>
        <v>0</v>
      </c>
      <c r="V49" s="29">
        <f>57+43+57+30+56.3+37+8.3</f>
        <v>288.60000000000002</v>
      </c>
      <c r="W49" s="30">
        <f t="shared" si="21"/>
        <v>0</v>
      </c>
      <c r="X49" s="30"/>
      <c r="Y49" s="30">
        <f t="shared" si="11"/>
        <v>0</v>
      </c>
      <c r="Z49" s="31">
        <f>29.8+47</f>
        <v>76.8</v>
      </c>
      <c r="AA49" s="30">
        <f t="shared" si="12"/>
        <v>0</v>
      </c>
      <c r="AB49" s="30"/>
      <c r="AC49" s="30">
        <f t="shared" si="13"/>
        <v>0</v>
      </c>
      <c r="AD49" s="31">
        <v>36.799999999999997</v>
      </c>
      <c r="AE49" s="30">
        <f t="shared" si="14"/>
        <v>0</v>
      </c>
      <c r="AF49" s="30"/>
      <c r="AG49" s="30">
        <f t="shared" si="15"/>
        <v>0</v>
      </c>
      <c r="AH49" s="30">
        <f t="shared" si="16"/>
        <v>0</v>
      </c>
      <c r="AI49" s="30">
        <f t="shared" si="29"/>
        <v>0</v>
      </c>
      <c r="AJ49" s="31">
        <v>398</v>
      </c>
      <c r="AK49" s="30" t="s">
        <v>314</v>
      </c>
      <c r="AL49" s="32">
        <v>0</v>
      </c>
      <c r="AM49" s="32">
        <f t="shared" si="36"/>
        <v>0</v>
      </c>
      <c r="AN49" s="32"/>
      <c r="AO49" s="32">
        <f t="shared" si="22"/>
        <v>0</v>
      </c>
      <c r="AP49" s="32">
        <f t="shared" si="19"/>
        <v>0</v>
      </c>
      <c r="AQ49" s="33">
        <f t="shared" si="0"/>
        <v>0</v>
      </c>
      <c r="AR49" s="82">
        <f t="shared" si="1"/>
        <v>0</v>
      </c>
      <c r="AS49" s="9"/>
      <c r="AT49" s="9"/>
      <c r="AU49" s="9"/>
      <c r="AV49" s="9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2"/>
      <c r="CD49" s="62"/>
      <c r="CE49" s="62"/>
      <c r="CF49" s="62"/>
      <c r="CG49" s="62"/>
    </row>
    <row r="50" spans="1:85" s="4" customFormat="1" ht="64.5" customHeight="1" outlineLevel="1" x14ac:dyDescent="0.25">
      <c r="A50" s="25">
        <f t="shared" ref="A50:A58" si="37">A49+1</f>
        <v>37</v>
      </c>
      <c r="B50" s="26" t="s">
        <v>15</v>
      </c>
      <c r="C50" s="27" t="s">
        <v>282</v>
      </c>
      <c r="D50" s="28" t="s">
        <v>18</v>
      </c>
      <c r="E50" s="29">
        <f t="shared" si="2"/>
        <v>63</v>
      </c>
      <c r="F50" s="29">
        <v>30.1</v>
      </c>
      <c r="G50" s="30">
        <f t="shared" si="3"/>
        <v>0</v>
      </c>
      <c r="H50" s="30"/>
      <c r="I50" s="30">
        <f t="shared" si="4"/>
        <v>0</v>
      </c>
      <c r="J50" s="31">
        <v>0</v>
      </c>
      <c r="K50" s="30">
        <f t="shared" si="5"/>
        <v>0</v>
      </c>
      <c r="L50" s="30"/>
      <c r="M50" s="30">
        <f t="shared" si="6"/>
        <v>0</v>
      </c>
      <c r="N50" s="29">
        <v>0</v>
      </c>
      <c r="O50" s="30">
        <f t="shared" si="7"/>
        <v>0</v>
      </c>
      <c r="P50" s="30"/>
      <c r="Q50" s="30">
        <f t="shared" si="8"/>
        <v>0</v>
      </c>
      <c r="R50" s="30">
        <v>0</v>
      </c>
      <c r="S50" s="30">
        <f t="shared" si="35"/>
        <v>0</v>
      </c>
      <c r="T50" s="30"/>
      <c r="U50" s="30">
        <f t="shared" si="9"/>
        <v>0</v>
      </c>
      <c r="V50" s="29">
        <v>30.4</v>
      </c>
      <c r="W50" s="30">
        <f t="shared" si="21"/>
        <v>0</v>
      </c>
      <c r="X50" s="30"/>
      <c r="Y50" s="30">
        <f t="shared" si="11"/>
        <v>0</v>
      </c>
      <c r="Z50" s="31">
        <v>0</v>
      </c>
      <c r="AA50" s="30">
        <f t="shared" si="12"/>
        <v>0</v>
      </c>
      <c r="AB50" s="30"/>
      <c r="AC50" s="30">
        <f t="shared" si="13"/>
        <v>0</v>
      </c>
      <c r="AD50" s="31">
        <v>2.5</v>
      </c>
      <c r="AE50" s="30">
        <f t="shared" si="14"/>
        <v>0</v>
      </c>
      <c r="AF50" s="30"/>
      <c r="AG50" s="30">
        <f t="shared" si="15"/>
        <v>0</v>
      </c>
      <c r="AH50" s="30">
        <f t="shared" si="16"/>
        <v>0</v>
      </c>
      <c r="AI50" s="30">
        <f t="shared" si="29"/>
        <v>0</v>
      </c>
      <c r="AJ50" s="31">
        <v>127</v>
      </c>
      <c r="AK50" s="30" t="s">
        <v>314</v>
      </c>
      <c r="AL50" s="32">
        <v>0</v>
      </c>
      <c r="AM50" s="32">
        <f t="shared" si="36"/>
        <v>0</v>
      </c>
      <c r="AN50" s="32"/>
      <c r="AO50" s="32">
        <f t="shared" si="22"/>
        <v>0</v>
      </c>
      <c r="AP50" s="32">
        <f t="shared" si="19"/>
        <v>0</v>
      </c>
      <c r="AQ50" s="33">
        <f t="shared" si="0"/>
        <v>0</v>
      </c>
      <c r="AR50" s="82">
        <f t="shared" si="1"/>
        <v>0</v>
      </c>
      <c r="AS50" s="9"/>
      <c r="AT50" s="9"/>
      <c r="AU50" s="9"/>
      <c r="AV50" s="9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2"/>
      <c r="CD50" s="62"/>
      <c r="CE50" s="62"/>
      <c r="CF50" s="62"/>
      <c r="CG50" s="62"/>
    </row>
    <row r="51" spans="1:85" s="4" customFormat="1" ht="56.25" outlineLevel="1" x14ac:dyDescent="0.25">
      <c r="A51" s="25">
        <f t="shared" si="37"/>
        <v>38</v>
      </c>
      <c r="B51" s="26" t="s">
        <v>15</v>
      </c>
      <c r="C51" s="27" t="s">
        <v>281</v>
      </c>
      <c r="D51" s="28" t="s">
        <v>18</v>
      </c>
      <c r="E51" s="29">
        <f t="shared" si="2"/>
        <v>379.3</v>
      </c>
      <c r="F51" s="29">
        <f>215.8</f>
        <v>215.8</v>
      </c>
      <c r="G51" s="30">
        <f t="shared" si="3"/>
        <v>0</v>
      </c>
      <c r="H51" s="30"/>
      <c r="I51" s="30">
        <f t="shared" si="4"/>
        <v>0</v>
      </c>
      <c r="J51" s="31">
        <v>25</v>
      </c>
      <c r="K51" s="30">
        <f t="shared" si="5"/>
        <v>0</v>
      </c>
      <c r="L51" s="30"/>
      <c r="M51" s="30">
        <f t="shared" si="6"/>
        <v>0</v>
      </c>
      <c r="N51" s="29">
        <v>0</v>
      </c>
      <c r="O51" s="30">
        <f t="shared" si="7"/>
        <v>0</v>
      </c>
      <c r="P51" s="30"/>
      <c r="Q51" s="30">
        <f t="shared" si="8"/>
        <v>0</v>
      </c>
      <c r="R51" s="30">
        <v>0</v>
      </c>
      <c r="S51" s="30">
        <v>4.2</v>
      </c>
      <c r="T51" s="30"/>
      <c r="U51" s="30">
        <f t="shared" si="9"/>
        <v>0</v>
      </c>
      <c r="V51" s="29">
        <f>51.8+46.3</f>
        <v>98.1</v>
      </c>
      <c r="W51" s="30">
        <f t="shared" si="21"/>
        <v>0</v>
      </c>
      <c r="X51" s="30"/>
      <c r="Y51" s="30">
        <f t="shared" si="11"/>
        <v>0</v>
      </c>
      <c r="Z51" s="31">
        <v>35.799999999999997</v>
      </c>
      <c r="AA51" s="30">
        <f t="shared" si="12"/>
        <v>0</v>
      </c>
      <c r="AB51" s="30"/>
      <c r="AC51" s="30">
        <f t="shared" si="13"/>
        <v>0</v>
      </c>
      <c r="AD51" s="31">
        <v>4.5999999999999996</v>
      </c>
      <c r="AE51" s="30">
        <f t="shared" si="14"/>
        <v>0</v>
      </c>
      <c r="AF51" s="30"/>
      <c r="AG51" s="30">
        <f t="shared" si="15"/>
        <v>0</v>
      </c>
      <c r="AH51" s="30">
        <f t="shared" si="16"/>
        <v>0</v>
      </c>
      <c r="AI51" s="30">
        <f t="shared" si="29"/>
        <v>0</v>
      </c>
      <c r="AJ51" s="31">
        <v>280</v>
      </c>
      <c r="AK51" s="30" t="s">
        <v>314</v>
      </c>
      <c r="AL51" s="32">
        <v>0</v>
      </c>
      <c r="AM51" s="32">
        <f t="shared" si="36"/>
        <v>0</v>
      </c>
      <c r="AN51" s="32"/>
      <c r="AO51" s="32">
        <f t="shared" si="22"/>
        <v>0</v>
      </c>
      <c r="AP51" s="32">
        <f t="shared" si="19"/>
        <v>0</v>
      </c>
      <c r="AQ51" s="33">
        <f t="shared" si="0"/>
        <v>0</v>
      </c>
      <c r="AR51" s="82">
        <f t="shared" si="1"/>
        <v>0</v>
      </c>
      <c r="AS51" s="9"/>
      <c r="AT51" s="9"/>
      <c r="AU51" s="9"/>
      <c r="AV51" s="9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2"/>
      <c r="CD51" s="62"/>
      <c r="CE51" s="62"/>
      <c r="CF51" s="62"/>
      <c r="CG51" s="62"/>
    </row>
    <row r="52" spans="1:85" s="4" customFormat="1" ht="64.5" customHeight="1" outlineLevel="1" x14ac:dyDescent="0.25">
      <c r="A52" s="25">
        <f t="shared" si="37"/>
        <v>39</v>
      </c>
      <c r="B52" s="26" t="s">
        <v>291</v>
      </c>
      <c r="C52" s="27" t="s">
        <v>82</v>
      </c>
      <c r="D52" s="28" t="s">
        <v>18</v>
      </c>
      <c r="E52" s="29">
        <f t="shared" si="2"/>
        <v>520.29999999999995</v>
      </c>
      <c r="F52" s="29">
        <v>292.3</v>
      </c>
      <c r="G52" s="30">
        <f t="shared" si="3"/>
        <v>0</v>
      </c>
      <c r="H52" s="30"/>
      <c r="I52" s="30">
        <f t="shared" si="4"/>
        <v>0</v>
      </c>
      <c r="J52" s="31">
        <v>0</v>
      </c>
      <c r="K52" s="30">
        <f t="shared" si="5"/>
        <v>0</v>
      </c>
      <c r="L52" s="30"/>
      <c r="M52" s="30">
        <f t="shared" si="6"/>
        <v>0</v>
      </c>
      <c r="N52" s="29">
        <v>67</v>
      </c>
      <c r="O52" s="30">
        <f t="shared" si="7"/>
        <v>0</v>
      </c>
      <c r="P52" s="30"/>
      <c r="Q52" s="30">
        <f t="shared" si="8"/>
        <v>0</v>
      </c>
      <c r="R52" s="30">
        <v>0</v>
      </c>
      <c r="S52" s="30">
        <f t="shared" ref="S52:S54" si="38">T52/1.18</f>
        <v>0</v>
      </c>
      <c r="T52" s="30"/>
      <c r="U52" s="30">
        <f t="shared" si="9"/>
        <v>0</v>
      </c>
      <c r="V52" s="29">
        <f>50.4+23.8+28.8+18+18+18</f>
        <v>157</v>
      </c>
      <c r="W52" s="30">
        <f t="shared" si="21"/>
        <v>0</v>
      </c>
      <c r="X52" s="30"/>
      <c r="Y52" s="30">
        <f t="shared" si="11"/>
        <v>0</v>
      </c>
      <c r="Z52" s="31">
        <v>0</v>
      </c>
      <c r="AA52" s="30">
        <f t="shared" si="12"/>
        <v>0</v>
      </c>
      <c r="AB52" s="30"/>
      <c r="AC52" s="30">
        <f t="shared" si="13"/>
        <v>0</v>
      </c>
      <c r="AD52" s="31">
        <v>4</v>
      </c>
      <c r="AE52" s="30">
        <f t="shared" si="14"/>
        <v>0</v>
      </c>
      <c r="AF52" s="30"/>
      <c r="AG52" s="30">
        <f t="shared" si="15"/>
        <v>0</v>
      </c>
      <c r="AH52" s="30">
        <f t="shared" si="16"/>
        <v>0</v>
      </c>
      <c r="AI52" s="30">
        <f t="shared" si="29"/>
        <v>0</v>
      </c>
      <c r="AJ52" s="31">
        <v>955</v>
      </c>
      <c r="AK52" s="30" t="s">
        <v>314</v>
      </c>
      <c r="AL52" s="32">
        <v>0</v>
      </c>
      <c r="AM52" s="32">
        <f t="shared" si="36"/>
        <v>0</v>
      </c>
      <c r="AN52" s="32"/>
      <c r="AO52" s="32">
        <f t="shared" si="22"/>
        <v>0</v>
      </c>
      <c r="AP52" s="32">
        <f t="shared" si="19"/>
        <v>0</v>
      </c>
      <c r="AQ52" s="33">
        <f t="shared" si="0"/>
        <v>0</v>
      </c>
      <c r="AR52" s="82">
        <f t="shared" si="1"/>
        <v>0</v>
      </c>
      <c r="AS52" s="9"/>
      <c r="AT52" s="9"/>
      <c r="AU52" s="9"/>
      <c r="AV52" s="9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2"/>
      <c r="CD52" s="62"/>
      <c r="CE52" s="62"/>
      <c r="CF52" s="62"/>
      <c r="CG52" s="62"/>
    </row>
    <row r="53" spans="1:85" s="4" customFormat="1" ht="64.5" customHeight="1" outlineLevel="1" x14ac:dyDescent="0.25">
      <c r="A53" s="25">
        <f t="shared" si="37"/>
        <v>40</v>
      </c>
      <c r="B53" s="26" t="s">
        <v>290</v>
      </c>
      <c r="C53" s="27" t="s">
        <v>83</v>
      </c>
      <c r="D53" s="28" t="s">
        <v>18</v>
      </c>
      <c r="E53" s="29">
        <f t="shared" si="2"/>
        <v>1356.7</v>
      </c>
      <c r="F53" s="29">
        <f>95.8+79+200.8+93.5+92.4+11.9</f>
        <v>573.4</v>
      </c>
      <c r="G53" s="30">
        <f t="shared" si="3"/>
        <v>0</v>
      </c>
      <c r="H53" s="30"/>
      <c r="I53" s="30">
        <f t="shared" si="4"/>
        <v>0</v>
      </c>
      <c r="J53" s="31">
        <f>10.7+472.5</f>
        <v>483.2</v>
      </c>
      <c r="K53" s="30">
        <f t="shared" si="5"/>
        <v>0</v>
      </c>
      <c r="L53" s="30"/>
      <c r="M53" s="30">
        <f t="shared" si="6"/>
        <v>0</v>
      </c>
      <c r="N53" s="29">
        <v>0</v>
      </c>
      <c r="O53" s="30">
        <f t="shared" si="7"/>
        <v>0</v>
      </c>
      <c r="P53" s="30"/>
      <c r="Q53" s="30">
        <f t="shared" si="8"/>
        <v>0</v>
      </c>
      <c r="R53" s="30">
        <v>14.5</v>
      </c>
      <c r="S53" s="30">
        <f t="shared" si="38"/>
        <v>0</v>
      </c>
      <c r="T53" s="30"/>
      <c r="U53" s="30">
        <f t="shared" si="9"/>
        <v>0</v>
      </c>
      <c r="V53" s="29">
        <f>57+12.3+76.4+12.9+12+69.7+12.9</f>
        <v>253.20000000000002</v>
      </c>
      <c r="W53" s="30">
        <f t="shared" si="21"/>
        <v>0</v>
      </c>
      <c r="X53" s="30"/>
      <c r="Y53" s="30">
        <f t="shared" si="11"/>
        <v>0</v>
      </c>
      <c r="Z53" s="31">
        <v>0</v>
      </c>
      <c r="AA53" s="30">
        <f t="shared" si="12"/>
        <v>0</v>
      </c>
      <c r="AB53" s="30"/>
      <c r="AC53" s="30">
        <f t="shared" si="13"/>
        <v>0</v>
      </c>
      <c r="AD53" s="31">
        <v>32.4</v>
      </c>
      <c r="AE53" s="30">
        <f t="shared" si="14"/>
        <v>0</v>
      </c>
      <c r="AF53" s="30"/>
      <c r="AG53" s="30">
        <f t="shared" si="15"/>
        <v>0</v>
      </c>
      <c r="AH53" s="30">
        <f t="shared" si="16"/>
        <v>0</v>
      </c>
      <c r="AI53" s="30">
        <f t="shared" si="29"/>
        <v>0</v>
      </c>
      <c r="AJ53" s="31">
        <v>740</v>
      </c>
      <c r="AK53" s="30" t="s">
        <v>314</v>
      </c>
      <c r="AL53" s="32">
        <v>0</v>
      </c>
      <c r="AM53" s="32">
        <f t="shared" si="36"/>
        <v>0</v>
      </c>
      <c r="AN53" s="32"/>
      <c r="AO53" s="32">
        <f t="shared" si="22"/>
        <v>0</v>
      </c>
      <c r="AP53" s="32">
        <f t="shared" si="19"/>
        <v>0</v>
      </c>
      <c r="AQ53" s="33">
        <f t="shared" si="0"/>
        <v>0</v>
      </c>
      <c r="AR53" s="82">
        <f t="shared" si="1"/>
        <v>0</v>
      </c>
      <c r="AS53" s="9"/>
      <c r="AT53" s="9"/>
      <c r="AU53" s="9"/>
      <c r="AV53" s="9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2"/>
      <c r="CD53" s="62"/>
      <c r="CE53" s="62"/>
      <c r="CF53" s="62"/>
      <c r="CG53" s="62"/>
    </row>
    <row r="54" spans="1:85" s="4" customFormat="1" ht="84.75" customHeight="1" outlineLevel="1" x14ac:dyDescent="0.25">
      <c r="A54" s="25">
        <f t="shared" si="37"/>
        <v>41</v>
      </c>
      <c r="B54" s="26" t="s">
        <v>289</v>
      </c>
      <c r="C54" s="27" t="s">
        <v>85</v>
      </c>
      <c r="D54" s="28" t="s">
        <v>18</v>
      </c>
      <c r="E54" s="29">
        <f t="shared" si="2"/>
        <v>835.00000000000011</v>
      </c>
      <c r="F54" s="29">
        <f>126.7+61.6</f>
        <v>188.3</v>
      </c>
      <c r="G54" s="30">
        <f t="shared" si="3"/>
        <v>0</v>
      </c>
      <c r="H54" s="30"/>
      <c r="I54" s="30">
        <f t="shared" si="4"/>
        <v>0</v>
      </c>
      <c r="J54" s="31">
        <f>171.8+330.8</f>
        <v>502.6</v>
      </c>
      <c r="K54" s="30">
        <f t="shared" si="5"/>
        <v>0</v>
      </c>
      <c r="L54" s="30"/>
      <c r="M54" s="30">
        <f t="shared" si="6"/>
        <v>0</v>
      </c>
      <c r="N54" s="29">
        <v>21.2</v>
      </c>
      <c r="O54" s="30">
        <f t="shared" si="7"/>
        <v>0</v>
      </c>
      <c r="P54" s="30"/>
      <c r="Q54" s="30">
        <f t="shared" si="8"/>
        <v>0</v>
      </c>
      <c r="R54" s="30">
        <v>0</v>
      </c>
      <c r="S54" s="30">
        <f t="shared" si="38"/>
        <v>0</v>
      </c>
      <c r="T54" s="30"/>
      <c r="U54" s="30">
        <f t="shared" si="9"/>
        <v>0</v>
      </c>
      <c r="V54" s="29">
        <f>61.1+31.7+18</f>
        <v>110.8</v>
      </c>
      <c r="W54" s="30">
        <f t="shared" si="21"/>
        <v>0</v>
      </c>
      <c r="X54" s="30"/>
      <c r="Y54" s="30">
        <f t="shared" si="11"/>
        <v>0</v>
      </c>
      <c r="Z54" s="31">
        <v>0</v>
      </c>
      <c r="AA54" s="30">
        <f t="shared" si="12"/>
        <v>0</v>
      </c>
      <c r="AB54" s="30"/>
      <c r="AC54" s="30">
        <f t="shared" si="13"/>
        <v>0</v>
      </c>
      <c r="AD54" s="31">
        <f>12.1</f>
        <v>12.1</v>
      </c>
      <c r="AE54" s="30">
        <f t="shared" si="14"/>
        <v>0</v>
      </c>
      <c r="AF54" s="30"/>
      <c r="AG54" s="30">
        <f t="shared" si="15"/>
        <v>0</v>
      </c>
      <c r="AH54" s="30">
        <f t="shared" si="16"/>
        <v>0</v>
      </c>
      <c r="AI54" s="30">
        <f t="shared" si="29"/>
        <v>0</v>
      </c>
      <c r="AJ54" s="31">
        <v>537</v>
      </c>
      <c r="AK54" s="30" t="s">
        <v>314</v>
      </c>
      <c r="AL54" s="32">
        <v>0</v>
      </c>
      <c r="AM54" s="32">
        <f t="shared" si="36"/>
        <v>0</v>
      </c>
      <c r="AN54" s="32"/>
      <c r="AO54" s="32">
        <f t="shared" si="22"/>
        <v>0</v>
      </c>
      <c r="AP54" s="32">
        <f t="shared" si="19"/>
        <v>0</v>
      </c>
      <c r="AQ54" s="33">
        <f t="shared" si="0"/>
        <v>0</v>
      </c>
      <c r="AR54" s="82">
        <f t="shared" si="1"/>
        <v>0</v>
      </c>
      <c r="AS54" s="9"/>
      <c r="AT54" s="9"/>
      <c r="AU54" s="9"/>
      <c r="AV54" s="9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2"/>
      <c r="CD54" s="62"/>
      <c r="CE54" s="62"/>
      <c r="CF54" s="62"/>
      <c r="CG54" s="62"/>
    </row>
    <row r="55" spans="1:85" s="4" customFormat="1" ht="64.5" customHeight="1" outlineLevel="1" x14ac:dyDescent="0.25">
      <c r="A55" s="25">
        <f>A54+1</f>
        <v>42</v>
      </c>
      <c r="B55" s="26" t="s">
        <v>287</v>
      </c>
      <c r="C55" s="27" t="s">
        <v>86</v>
      </c>
      <c r="D55" s="28" t="s">
        <v>18</v>
      </c>
      <c r="E55" s="29">
        <f t="shared" si="2"/>
        <v>507.3</v>
      </c>
      <c r="F55" s="29">
        <f>74.9+14+44.6+200.1</f>
        <v>333.6</v>
      </c>
      <c r="G55" s="30">
        <f t="shared" si="3"/>
        <v>0</v>
      </c>
      <c r="H55" s="30"/>
      <c r="I55" s="30">
        <f t="shared" si="4"/>
        <v>0</v>
      </c>
      <c r="J55" s="31">
        <v>0</v>
      </c>
      <c r="K55" s="30">
        <f t="shared" si="5"/>
        <v>0</v>
      </c>
      <c r="L55" s="30"/>
      <c r="M55" s="30">
        <f t="shared" si="6"/>
        <v>0</v>
      </c>
      <c r="N55" s="29">
        <v>0</v>
      </c>
      <c r="O55" s="30">
        <f t="shared" si="7"/>
        <v>0</v>
      </c>
      <c r="P55" s="30"/>
      <c r="Q55" s="30">
        <f t="shared" si="8"/>
        <v>0</v>
      </c>
      <c r="R55" s="30">
        <v>0</v>
      </c>
      <c r="S55" s="30">
        <f t="shared" ref="S55:S56" si="39">T55/1.18</f>
        <v>0</v>
      </c>
      <c r="T55" s="30"/>
      <c r="U55" s="30">
        <f t="shared" si="9"/>
        <v>0</v>
      </c>
      <c r="V55" s="29">
        <v>173.7</v>
      </c>
      <c r="W55" s="30">
        <f t="shared" si="21"/>
        <v>0</v>
      </c>
      <c r="X55" s="30"/>
      <c r="Y55" s="30">
        <f t="shared" si="11"/>
        <v>0</v>
      </c>
      <c r="Z55" s="31">
        <v>0</v>
      </c>
      <c r="AA55" s="30">
        <f t="shared" si="12"/>
        <v>0</v>
      </c>
      <c r="AB55" s="30"/>
      <c r="AC55" s="30">
        <f t="shared" si="13"/>
        <v>0</v>
      </c>
      <c r="AD55" s="31">
        <v>0</v>
      </c>
      <c r="AE55" s="30">
        <f t="shared" si="14"/>
        <v>0</v>
      </c>
      <c r="AF55" s="30"/>
      <c r="AG55" s="30">
        <f t="shared" si="15"/>
        <v>0</v>
      </c>
      <c r="AH55" s="30">
        <f t="shared" si="16"/>
        <v>0</v>
      </c>
      <c r="AI55" s="30">
        <f t="shared" si="29"/>
        <v>0</v>
      </c>
      <c r="AJ55" s="31">
        <v>700</v>
      </c>
      <c r="AK55" s="30" t="s">
        <v>314</v>
      </c>
      <c r="AL55" s="32">
        <v>0</v>
      </c>
      <c r="AM55" s="32">
        <f t="shared" si="36"/>
        <v>0</v>
      </c>
      <c r="AN55" s="32"/>
      <c r="AO55" s="32">
        <f t="shared" si="22"/>
        <v>0</v>
      </c>
      <c r="AP55" s="32">
        <f t="shared" si="19"/>
        <v>0</v>
      </c>
      <c r="AQ55" s="33">
        <f t="shared" si="0"/>
        <v>0</v>
      </c>
      <c r="AR55" s="82">
        <f t="shared" si="1"/>
        <v>0</v>
      </c>
      <c r="AS55" s="9"/>
      <c r="AT55" s="9"/>
      <c r="AU55" s="9"/>
      <c r="AV55" s="9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2"/>
      <c r="CD55" s="62"/>
      <c r="CE55" s="62"/>
      <c r="CF55" s="62"/>
      <c r="CG55" s="62"/>
    </row>
    <row r="56" spans="1:85" s="4" customFormat="1" ht="64.5" customHeight="1" outlineLevel="1" x14ac:dyDescent="0.25">
      <c r="A56" s="25">
        <f t="shared" si="37"/>
        <v>43</v>
      </c>
      <c r="B56" s="26" t="s">
        <v>288</v>
      </c>
      <c r="C56" s="27" t="s">
        <v>87</v>
      </c>
      <c r="D56" s="28" t="s">
        <v>18</v>
      </c>
      <c r="E56" s="29">
        <f t="shared" si="2"/>
        <v>570.29999999999995</v>
      </c>
      <c r="F56" s="29">
        <v>188.7</v>
      </c>
      <c r="G56" s="30">
        <f t="shared" si="3"/>
        <v>0</v>
      </c>
      <c r="H56" s="30"/>
      <c r="I56" s="30">
        <f t="shared" si="4"/>
        <v>0</v>
      </c>
      <c r="J56" s="31">
        <v>268.3</v>
      </c>
      <c r="K56" s="30">
        <f t="shared" si="5"/>
        <v>0</v>
      </c>
      <c r="L56" s="30"/>
      <c r="M56" s="30">
        <f t="shared" si="6"/>
        <v>0</v>
      </c>
      <c r="N56" s="29">
        <f>21.2</f>
        <v>21.2</v>
      </c>
      <c r="O56" s="30">
        <f t="shared" si="7"/>
        <v>0</v>
      </c>
      <c r="P56" s="30"/>
      <c r="Q56" s="30">
        <f t="shared" si="8"/>
        <v>0</v>
      </c>
      <c r="R56" s="30">
        <v>0</v>
      </c>
      <c r="S56" s="30">
        <f t="shared" si="39"/>
        <v>0</v>
      </c>
      <c r="T56" s="30"/>
      <c r="U56" s="30">
        <f t="shared" si="9"/>
        <v>0</v>
      </c>
      <c r="V56" s="29">
        <v>92.1</v>
      </c>
      <c r="W56" s="30">
        <f t="shared" si="21"/>
        <v>0</v>
      </c>
      <c r="X56" s="30"/>
      <c r="Y56" s="30">
        <f t="shared" si="11"/>
        <v>0</v>
      </c>
      <c r="Z56" s="31">
        <v>0</v>
      </c>
      <c r="AA56" s="30">
        <f t="shared" si="12"/>
        <v>0</v>
      </c>
      <c r="AB56" s="30"/>
      <c r="AC56" s="30">
        <f t="shared" si="13"/>
        <v>0</v>
      </c>
      <c r="AD56" s="31">
        <v>0</v>
      </c>
      <c r="AE56" s="30">
        <f t="shared" si="14"/>
        <v>0</v>
      </c>
      <c r="AF56" s="30"/>
      <c r="AG56" s="30">
        <f t="shared" si="15"/>
        <v>0</v>
      </c>
      <c r="AH56" s="30">
        <f t="shared" si="16"/>
        <v>0</v>
      </c>
      <c r="AI56" s="30">
        <f t="shared" si="29"/>
        <v>0</v>
      </c>
      <c r="AJ56" s="31">
        <v>240</v>
      </c>
      <c r="AK56" s="30" t="s">
        <v>314</v>
      </c>
      <c r="AL56" s="32">
        <v>0</v>
      </c>
      <c r="AM56" s="32">
        <f t="shared" si="36"/>
        <v>0</v>
      </c>
      <c r="AN56" s="32"/>
      <c r="AO56" s="32">
        <f t="shared" si="22"/>
        <v>0</v>
      </c>
      <c r="AP56" s="32">
        <f t="shared" si="19"/>
        <v>0</v>
      </c>
      <c r="AQ56" s="33">
        <f t="shared" si="0"/>
        <v>0</v>
      </c>
      <c r="AR56" s="82">
        <f t="shared" si="1"/>
        <v>0</v>
      </c>
      <c r="AS56" s="9"/>
      <c r="AT56" s="9"/>
      <c r="AU56" s="9"/>
      <c r="AV56" s="9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2"/>
      <c r="CD56" s="62"/>
      <c r="CE56" s="62"/>
      <c r="CF56" s="62"/>
      <c r="CG56" s="62"/>
    </row>
    <row r="57" spans="1:85" s="4" customFormat="1" ht="64.5" customHeight="1" outlineLevel="1" x14ac:dyDescent="0.25">
      <c r="A57" s="25">
        <f t="shared" si="37"/>
        <v>44</v>
      </c>
      <c r="B57" s="26" t="s">
        <v>294</v>
      </c>
      <c r="C57" s="27" t="s">
        <v>91</v>
      </c>
      <c r="D57" s="28" t="s">
        <v>18</v>
      </c>
      <c r="E57" s="29">
        <f t="shared" si="2"/>
        <v>1436.6</v>
      </c>
      <c r="F57" s="29">
        <v>287</v>
      </c>
      <c r="G57" s="30">
        <f>H57/1.18</f>
        <v>0</v>
      </c>
      <c r="H57" s="30"/>
      <c r="I57" s="30">
        <f>H57*F57</f>
        <v>0</v>
      </c>
      <c r="J57" s="31">
        <v>661.9</v>
      </c>
      <c r="K57" s="30">
        <f>L57/1.18</f>
        <v>0</v>
      </c>
      <c r="L57" s="30"/>
      <c r="M57" s="30">
        <f>L57*J57</f>
        <v>0</v>
      </c>
      <c r="N57" s="29">
        <v>0</v>
      </c>
      <c r="O57" s="30">
        <f>P57/1.18</f>
        <v>0</v>
      </c>
      <c r="P57" s="30"/>
      <c r="Q57" s="30">
        <f>P57*N57</f>
        <v>0</v>
      </c>
      <c r="R57" s="30">
        <v>49.3</v>
      </c>
      <c r="S57" s="30">
        <f>T57/1.18</f>
        <v>0</v>
      </c>
      <c r="T57" s="30"/>
      <c r="U57" s="30">
        <f>T57*R57</f>
        <v>0</v>
      </c>
      <c r="V57" s="29">
        <v>419.3</v>
      </c>
      <c r="W57" s="30">
        <f>X57/1.18</f>
        <v>0</v>
      </c>
      <c r="X57" s="30"/>
      <c r="Y57" s="30">
        <f>X57*V57</f>
        <v>0</v>
      </c>
      <c r="Z57" s="31">
        <v>13.5</v>
      </c>
      <c r="AA57" s="30">
        <f>AB57/1.18</f>
        <v>0</v>
      </c>
      <c r="AB57" s="30"/>
      <c r="AC57" s="30">
        <f>AB57*Z57</f>
        <v>0</v>
      </c>
      <c r="AD57" s="31">
        <v>5.6</v>
      </c>
      <c r="AE57" s="30">
        <f>AF57/1.18</f>
        <v>0</v>
      </c>
      <c r="AF57" s="30"/>
      <c r="AG57" s="30">
        <f>AF57*AD57</f>
        <v>0</v>
      </c>
      <c r="AH57" s="30">
        <f t="shared" si="16"/>
        <v>0</v>
      </c>
      <c r="AI57" s="30">
        <f t="shared" si="29"/>
        <v>0</v>
      </c>
      <c r="AJ57" s="31">
        <v>894</v>
      </c>
      <c r="AK57" s="30" t="s">
        <v>314</v>
      </c>
      <c r="AL57" s="32">
        <v>0</v>
      </c>
      <c r="AM57" s="32">
        <f t="shared" si="36"/>
        <v>0</v>
      </c>
      <c r="AN57" s="32"/>
      <c r="AO57" s="32">
        <f>AM57*AJ57</f>
        <v>0</v>
      </c>
      <c r="AP57" s="32">
        <f>AN57*AJ57</f>
        <v>0</v>
      </c>
      <c r="AQ57" s="33">
        <f t="shared" si="0"/>
        <v>0</v>
      </c>
      <c r="AR57" s="82">
        <f t="shared" si="1"/>
        <v>0</v>
      </c>
      <c r="AS57" s="9"/>
      <c r="AT57" s="9"/>
      <c r="AU57" s="9"/>
      <c r="AV57" s="9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2"/>
      <c r="CD57" s="62"/>
      <c r="CE57" s="62"/>
      <c r="CF57" s="62"/>
      <c r="CG57" s="62"/>
    </row>
    <row r="58" spans="1:85" s="4" customFormat="1" ht="64.5" customHeight="1" outlineLevel="1" x14ac:dyDescent="0.25">
      <c r="A58" s="25">
        <f t="shared" si="37"/>
        <v>45</v>
      </c>
      <c r="B58" s="26" t="s">
        <v>20</v>
      </c>
      <c r="C58" s="27" t="s">
        <v>90</v>
      </c>
      <c r="D58" s="28" t="s">
        <v>18</v>
      </c>
      <c r="E58" s="29">
        <f t="shared" si="2"/>
        <v>690.6</v>
      </c>
      <c r="F58" s="29">
        <f>152.3+61.6</f>
        <v>213.9</v>
      </c>
      <c r="G58" s="30">
        <f>H58/1.18</f>
        <v>0</v>
      </c>
      <c r="H58" s="30"/>
      <c r="I58" s="30">
        <f>H58*F58</f>
        <v>0</v>
      </c>
      <c r="J58" s="31">
        <f>53.4+263.7+35.3</f>
        <v>352.4</v>
      </c>
      <c r="K58" s="30">
        <f>L58/1.18</f>
        <v>0</v>
      </c>
      <c r="L58" s="30"/>
      <c r="M58" s="30">
        <f>L58*J58</f>
        <v>0</v>
      </c>
      <c r="N58" s="29">
        <v>21.7</v>
      </c>
      <c r="O58" s="30">
        <f>P58/1.18</f>
        <v>0</v>
      </c>
      <c r="P58" s="30"/>
      <c r="Q58" s="30">
        <f>P58*N58</f>
        <v>0</v>
      </c>
      <c r="R58" s="30">
        <v>0</v>
      </c>
      <c r="S58" s="30">
        <f>T58/1.18</f>
        <v>0</v>
      </c>
      <c r="T58" s="30"/>
      <c r="U58" s="30">
        <f>T58*R58</f>
        <v>0</v>
      </c>
      <c r="V58" s="29">
        <v>102.6</v>
      </c>
      <c r="W58" s="30">
        <f>X58/1.18</f>
        <v>0</v>
      </c>
      <c r="X58" s="30"/>
      <c r="Y58" s="30">
        <f>X58*V58</f>
        <v>0</v>
      </c>
      <c r="Z58" s="31">
        <v>0</v>
      </c>
      <c r="AA58" s="30">
        <f>AB58/1.18</f>
        <v>0</v>
      </c>
      <c r="AB58" s="30"/>
      <c r="AC58" s="30">
        <f>AB58*Z58</f>
        <v>0</v>
      </c>
      <c r="AD58" s="31">
        <v>0</v>
      </c>
      <c r="AE58" s="30">
        <f>AF58/1.18</f>
        <v>0</v>
      </c>
      <c r="AF58" s="30"/>
      <c r="AG58" s="30">
        <f>AF58*AD58</f>
        <v>0</v>
      </c>
      <c r="AH58" s="30">
        <f t="shared" si="16"/>
        <v>0</v>
      </c>
      <c r="AI58" s="30">
        <f t="shared" si="29"/>
        <v>0</v>
      </c>
      <c r="AJ58" s="31">
        <v>350</v>
      </c>
      <c r="AK58" s="30" t="s">
        <v>314</v>
      </c>
      <c r="AL58" s="32">
        <v>0</v>
      </c>
      <c r="AM58" s="32">
        <f t="shared" si="36"/>
        <v>0</v>
      </c>
      <c r="AN58" s="32"/>
      <c r="AO58" s="32">
        <f>AM58*AJ58</f>
        <v>0</v>
      </c>
      <c r="AP58" s="32">
        <f>AN58*AJ58</f>
        <v>0</v>
      </c>
      <c r="AQ58" s="33">
        <f t="shared" si="0"/>
        <v>0</v>
      </c>
      <c r="AR58" s="82">
        <f t="shared" si="1"/>
        <v>0</v>
      </c>
      <c r="AS58" s="9"/>
      <c r="AT58" s="9"/>
      <c r="AU58" s="9"/>
      <c r="AV58" s="9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2"/>
      <c r="CD58" s="62"/>
      <c r="CE58" s="62"/>
      <c r="CF58" s="62"/>
      <c r="CG58" s="62"/>
    </row>
    <row r="59" spans="1:85" s="4" customFormat="1" ht="64.5" customHeight="1" outlineLevel="1" x14ac:dyDescent="0.25">
      <c r="A59" s="147" t="s">
        <v>231</v>
      </c>
      <c r="B59" s="148"/>
      <c r="C59" s="148"/>
      <c r="D59" s="102"/>
      <c r="E59" s="29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30"/>
      <c r="AI59" s="30"/>
      <c r="AJ59" s="102"/>
      <c r="AK59" s="30"/>
      <c r="AL59" s="102"/>
      <c r="AM59" s="102"/>
      <c r="AN59" s="102"/>
      <c r="AO59" s="102"/>
      <c r="AP59" s="102"/>
      <c r="AQ59" s="111"/>
      <c r="AR59" s="126"/>
      <c r="AS59" s="9"/>
      <c r="AT59" s="9"/>
      <c r="AU59" s="9"/>
      <c r="AV59" s="9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2"/>
      <c r="CD59" s="62"/>
      <c r="CE59" s="62"/>
      <c r="CF59" s="62"/>
      <c r="CG59" s="62"/>
    </row>
    <row r="60" spans="1:85" s="62" customFormat="1" ht="64.5" customHeight="1" outlineLevel="1" x14ac:dyDescent="0.25">
      <c r="A60" s="25">
        <f>A58+1</f>
        <v>46</v>
      </c>
      <c r="B60" s="26" t="s">
        <v>20</v>
      </c>
      <c r="C60" s="27" t="s">
        <v>226</v>
      </c>
      <c r="D60" s="28" t="s">
        <v>18</v>
      </c>
      <c r="E60" s="29">
        <f t="shared" si="2"/>
        <v>889.19999999999993</v>
      </c>
      <c r="F60" s="29">
        <f>153+167.7</f>
        <v>320.7</v>
      </c>
      <c r="G60" s="30">
        <f>H60/1.18</f>
        <v>0</v>
      </c>
      <c r="H60" s="30"/>
      <c r="I60" s="30">
        <f>H60*F60</f>
        <v>0</v>
      </c>
      <c r="J60" s="31">
        <f>153.1+40.8+30.9+105.8</f>
        <v>330.59999999999997</v>
      </c>
      <c r="K60" s="30">
        <f>L60/1.18</f>
        <v>0</v>
      </c>
      <c r="L60" s="30"/>
      <c r="M60" s="30">
        <f>L60*J60</f>
        <v>0</v>
      </c>
      <c r="N60" s="29">
        <v>0</v>
      </c>
      <c r="O60" s="30">
        <f>P60/1.18</f>
        <v>0</v>
      </c>
      <c r="P60" s="30"/>
      <c r="Q60" s="30">
        <f>P60*N60</f>
        <v>0</v>
      </c>
      <c r="R60" s="30">
        <v>8.9</v>
      </c>
      <c r="S60" s="30">
        <v>4.2</v>
      </c>
      <c r="T60" s="30"/>
      <c r="U60" s="30">
        <f>T60*R60</f>
        <v>0</v>
      </c>
      <c r="V60" s="29">
        <f>42.6+24.3+29.5+24.3+14+59.7+32.4</f>
        <v>226.79999999999998</v>
      </c>
      <c r="W60" s="30">
        <f>X60/1.18</f>
        <v>0</v>
      </c>
      <c r="X60" s="30"/>
      <c r="Y60" s="30">
        <f>X60*V60</f>
        <v>0</v>
      </c>
      <c r="Z60" s="31">
        <v>0</v>
      </c>
      <c r="AA60" s="30">
        <f>AB60/1.18</f>
        <v>0</v>
      </c>
      <c r="AB60" s="30"/>
      <c r="AC60" s="30">
        <f>AB60*Z60</f>
        <v>0</v>
      </c>
      <c r="AD60" s="31">
        <v>2.2000000000000002</v>
      </c>
      <c r="AE60" s="30">
        <f>AF60/1.18</f>
        <v>0</v>
      </c>
      <c r="AF60" s="30"/>
      <c r="AG60" s="30">
        <f>AF60*AD60</f>
        <v>0</v>
      </c>
      <c r="AH60" s="30">
        <f t="shared" si="16"/>
        <v>0</v>
      </c>
      <c r="AI60" s="30">
        <f t="shared" si="29"/>
        <v>0</v>
      </c>
      <c r="AJ60" s="31">
        <v>393</v>
      </c>
      <c r="AK60" s="30" t="s">
        <v>314</v>
      </c>
      <c r="AL60" s="32">
        <v>0</v>
      </c>
      <c r="AM60" s="32">
        <f>AN60/1.18</f>
        <v>0</v>
      </c>
      <c r="AN60" s="32"/>
      <c r="AO60" s="32">
        <f>AM60*AJ60</f>
        <v>0</v>
      </c>
      <c r="AP60" s="32">
        <f>AN60*AJ60</f>
        <v>0</v>
      </c>
      <c r="AQ60" s="33">
        <f t="shared" si="0"/>
        <v>0</v>
      </c>
      <c r="AR60" s="82">
        <f t="shared" si="1"/>
        <v>0</v>
      </c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</row>
    <row r="61" spans="1:85" s="62" customFormat="1" ht="64.5" customHeight="1" outlineLevel="1" x14ac:dyDescent="0.25">
      <c r="A61" s="25">
        <f>A60+1</f>
        <v>47</v>
      </c>
      <c r="B61" s="26" t="s">
        <v>20</v>
      </c>
      <c r="C61" s="27" t="s">
        <v>84</v>
      </c>
      <c r="D61" s="28" t="s">
        <v>18</v>
      </c>
      <c r="E61" s="29">
        <f t="shared" si="2"/>
        <v>1140.3</v>
      </c>
      <c r="F61" s="29">
        <f>63.4+67.6</f>
        <v>131</v>
      </c>
      <c r="G61" s="30">
        <f>H61/1.18</f>
        <v>0</v>
      </c>
      <c r="H61" s="30"/>
      <c r="I61" s="30">
        <f>H61*F61</f>
        <v>0</v>
      </c>
      <c r="J61" s="31">
        <f>20.6+86.3+34.3+160.8+32.6+65.5+35+196.4+136.1</f>
        <v>767.6</v>
      </c>
      <c r="K61" s="30">
        <f>L61/1.18</f>
        <v>0</v>
      </c>
      <c r="L61" s="30"/>
      <c r="M61" s="30">
        <f>L61*J61</f>
        <v>0</v>
      </c>
      <c r="N61" s="29">
        <f>46.6+102.7</f>
        <v>149.30000000000001</v>
      </c>
      <c r="O61" s="30">
        <f>P61/1.18</f>
        <v>0</v>
      </c>
      <c r="P61" s="30"/>
      <c r="Q61" s="30">
        <f>P61*N61</f>
        <v>0</v>
      </c>
      <c r="R61" s="30">
        <v>0</v>
      </c>
      <c r="S61" s="30">
        <f t="shared" ref="S61:S62" si="40">T61/1.18</f>
        <v>0</v>
      </c>
      <c r="T61" s="30"/>
      <c r="U61" s="30">
        <f>T61*R61</f>
        <v>0</v>
      </c>
      <c r="V61" s="29">
        <f>8.1</f>
        <v>8.1</v>
      </c>
      <c r="W61" s="30">
        <f>X61/1.18</f>
        <v>0</v>
      </c>
      <c r="X61" s="30"/>
      <c r="Y61" s="30">
        <f>X61*V61</f>
        <v>0</v>
      </c>
      <c r="Z61" s="31">
        <v>51</v>
      </c>
      <c r="AA61" s="30">
        <f>AB61/1.18</f>
        <v>0</v>
      </c>
      <c r="AB61" s="30"/>
      <c r="AC61" s="30">
        <f>AB61*Z61</f>
        <v>0</v>
      </c>
      <c r="AD61" s="31">
        <f>9+10.8+7.6+5.9</f>
        <v>33.299999999999997</v>
      </c>
      <c r="AE61" s="30">
        <f>AF61/1.18</f>
        <v>0</v>
      </c>
      <c r="AF61" s="30"/>
      <c r="AG61" s="30">
        <f>AF61*AD61</f>
        <v>0</v>
      </c>
      <c r="AH61" s="30">
        <f t="shared" si="16"/>
        <v>0</v>
      </c>
      <c r="AI61" s="30">
        <f t="shared" si="29"/>
        <v>0</v>
      </c>
      <c r="AJ61" s="31">
        <f>360+400</f>
        <v>760</v>
      </c>
      <c r="AK61" s="30" t="s">
        <v>314</v>
      </c>
      <c r="AL61" s="32">
        <v>0</v>
      </c>
      <c r="AM61" s="32">
        <f t="shared" ref="AM61:AM67" si="41">AN61/1.18</f>
        <v>0</v>
      </c>
      <c r="AN61" s="32"/>
      <c r="AO61" s="32">
        <f>AM61*AJ61</f>
        <v>0</v>
      </c>
      <c r="AP61" s="32">
        <f>AN61*AJ61</f>
        <v>0</v>
      </c>
      <c r="AQ61" s="33">
        <f t="shared" si="0"/>
        <v>0</v>
      </c>
      <c r="AR61" s="82">
        <f t="shared" si="1"/>
        <v>0</v>
      </c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</row>
    <row r="62" spans="1:85" s="4" customFormat="1" ht="64.5" customHeight="1" outlineLevel="1" x14ac:dyDescent="0.25">
      <c r="A62" s="25">
        <f t="shared" ref="A62" si="42">A60+1</f>
        <v>47</v>
      </c>
      <c r="B62" s="26" t="s">
        <v>20</v>
      </c>
      <c r="C62" s="27" t="s">
        <v>293</v>
      </c>
      <c r="D62" s="28" t="s">
        <v>18</v>
      </c>
      <c r="E62" s="29">
        <f t="shared" si="2"/>
        <v>782.17000000000007</v>
      </c>
      <c r="F62" s="29">
        <f>121.57+119.1</f>
        <v>240.67</v>
      </c>
      <c r="G62" s="30">
        <f t="shared" ref="G62" si="43">H62/1.18</f>
        <v>0</v>
      </c>
      <c r="H62" s="30"/>
      <c r="I62" s="30">
        <f t="shared" ref="I62" si="44">H62*F62</f>
        <v>0</v>
      </c>
      <c r="J62" s="31">
        <f>88.7+190.9</f>
        <v>279.60000000000002</v>
      </c>
      <c r="K62" s="30">
        <f t="shared" ref="K62" si="45">L62/1.18</f>
        <v>0</v>
      </c>
      <c r="L62" s="30"/>
      <c r="M62" s="30">
        <f t="shared" ref="M62" si="46">L62*J62</f>
        <v>0</v>
      </c>
      <c r="N62" s="29">
        <v>42.2</v>
      </c>
      <c r="O62" s="30">
        <f t="shared" ref="O62" si="47">P62/1.18</f>
        <v>0</v>
      </c>
      <c r="P62" s="30"/>
      <c r="Q62" s="30">
        <f t="shared" ref="Q62" si="48">P62*N62</f>
        <v>0</v>
      </c>
      <c r="R62" s="30">
        <v>0</v>
      </c>
      <c r="S62" s="30">
        <f t="shared" si="40"/>
        <v>0</v>
      </c>
      <c r="T62" s="30"/>
      <c r="U62" s="30">
        <f t="shared" ref="U62" si="49">T62*R62</f>
        <v>0</v>
      </c>
      <c r="V62" s="29">
        <f>32.9+29.3+43.9+36.2+59.7+8.7</f>
        <v>210.7</v>
      </c>
      <c r="W62" s="30">
        <f t="shared" ref="W62" si="50">X62/1.18</f>
        <v>0</v>
      </c>
      <c r="X62" s="30"/>
      <c r="Y62" s="30">
        <f t="shared" ref="Y62" si="51">X62*V62</f>
        <v>0</v>
      </c>
      <c r="Z62" s="31">
        <v>0</v>
      </c>
      <c r="AA62" s="30">
        <f t="shared" ref="AA62" si="52">AB62/1.18</f>
        <v>0</v>
      </c>
      <c r="AB62" s="30"/>
      <c r="AC62" s="30">
        <f t="shared" ref="AC62" si="53">AB62*Z62</f>
        <v>0</v>
      </c>
      <c r="AD62" s="31">
        <v>9</v>
      </c>
      <c r="AE62" s="30">
        <f t="shared" ref="AE62" si="54">AF62/1.18</f>
        <v>0</v>
      </c>
      <c r="AF62" s="30"/>
      <c r="AG62" s="30">
        <f t="shared" ref="AG62" si="55">AF62*AD62</f>
        <v>0</v>
      </c>
      <c r="AH62" s="30">
        <f t="shared" si="16"/>
        <v>0</v>
      </c>
      <c r="AI62" s="30">
        <f t="shared" si="29"/>
        <v>0</v>
      </c>
      <c r="AJ62" s="31">
        <v>600</v>
      </c>
      <c r="AK62" s="30" t="s">
        <v>314</v>
      </c>
      <c r="AL62" s="32">
        <v>0</v>
      </c>
      <c r="AM62" s="32">
        <f t="shared" si="41"/>
        <v>0</v>
      </c>
      <c r="AN62" s="32"/>
      <c r="AO62" s="32">
        <f t="shared" ref="AO62" si="56">AM62*AJ62</f>
        <v>0</v>
      </c>
      <c r="AP62" s="32">
        <f t="shared" ref="AP62" si="57">AN62*AJ62</f>
        <v>0</v>
      </c>
      <c r="AQ62" s="33">
        <f t="shared" si="0"/>
        <v>0</v>
      </c>
      <c r="AR62" s="82">
        <f t="shared" si="1"/>
        <v>0</v>
      </c>
      <c r="AS62" s="9"/>
      <c r="AT62" s="9"/>
      <c r="AU62" s="9"/>
      <c r="AV62" s="9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2"/>
      <c r="CD62" s="62"/>
      <c r="CE62" s="62"/>
      <c r="CF62" s="62"/>
      <c r="CG62" s="62"/>
    </row>
    <row r="63" spans="1:85" s="4" customFormat="1" ht="64.5" customHeight="1" outlineLevel="1" x14ac:dyDescent="0.25">
      <c r="A63" s="25">
        <f t="shared" ref="A63" si="58">A62+1</f>
        <v>48</v>
      </c>
      <c r="B63" s="26" t="s">
        <v>257</v>
      </c>
      <c r="C63" s="27" t="s">
        <v>88</v>
      </c>
      <c r="D63" s="28" t="s">
        <v>18</v>
      </c>
      <c r="E63" s="29">
        <f t="shared" si="2"/>
        <v>3505.9</v>
      </c>
      <c r="F63" s="29">
        <f>397+66.9+65.8+3.7</f>
        <v>533.4</v>
      </c>
      <c r="G63" s="30">
        <f t="shared" si="3"/>
        <v>0</v>
      </c>
      <c r="H63" s="30"/>
      <c r="I63" s="30">
        <f t="shared" si="4"/>
        <v>0</v>
      </c>
      <c r="J63" s="31">
        <v>2045.1</v>
      </c>
      <c r="K63" s="30">
        <f t="shared" si="5"/>
        <v>0</v>
      </c>
      <c r="L63" s="30"/>
      <c r="M63" s="30">
        <f t="shared" si="6"/>
        <v>0</v>
      </c>
      <c r="N63" s="29">
        <v>0</v>
      </c>
      <c r="O63" s="30">
        <f t="shared" si="7"/>
        <v>0</v>
      </c>
      <c r="P63" s="30"/>
      <c r="Q63" s="30">
        <f t="shared" si="8"/>
        <v>0</v>
      </c>
      <c r="R63" s="30">
        <v>90</v>
      </c>
      <c r="S63" s="30">
        <v>4.2</v>
      </c>
      <c r="T63" s="30"/>
      <c r="U63" s="30">
        <f t="shared" si="9"/>
        <v>0</v>
      </c>
      <c r="V63" s="29">
        <v>803</v>
      </c>
      <c r="W63" s="30">
        <f t="shared" si="21"/>
        <v>0</v>
      </c>
      <c r="X63" s="30"/>
      <c r="Y63" s="30">
        <f t="shared" si="11"/>
        <v>0</v>
      </c>
      <c r="Z63" s="31">
        <v>0</v>
      </c>
      <c r="AA63" s="30">
        <f t="shared" si="12"/>
        <v>0</v>
      </c>
      <c r="AB63" s="30"/>
      <c r="AC63" s="30">
        <f t="shared" si="13"/>
        <v>0</v>
      </c>
      <c r="AD63" s="31">
        <v>34.4</v>
      </c>
      <c r="AE63" s="30">
        <f t="shared" si="14"/>
        <v>0</v>
      </c>
      <c r="AF63" s="30"/>
      <c r="AG63" s="30">
        <f t="shared" si="15"/>
        <v>0</v>
      </c>
      <c r="AH63" s="30">
        <f t="shared" si="16"/>
        <v>0</v>
      </c>
      <c r="AI63" s="30">
        <f t="shared" si="29"/>
        <v>0</v>
      </c>
      <c r="AJ63" s="31">
        <v>1760</v>
      </c>
      <c r="AK63" s="30" t="s">
        <v>314</v>
      </c>
      <c r="AL63" s="32">
        <v>0</v>
      </c>
      <c r="AM63" s="32">
        <f t="shared" si="41"/>
        <v>0</v>
      </c>
      <c r="AN63" s="32"/>
      <c r="AO63" s="32">
        <f t="shared" si="22"/>
        <v>0</v>
      </c>
      <c r="AP63" s="32">
        <f t="shared" si="19"/>
        <v>0</v>
      </c>
      <c r="AQ63" s="33">
        <f t="shared" si="0"/>
        <v>0</v>
      </c>
      <c r="AR63" s="82">
        <f t="shared" si="1"/>
        <v>0</v>
      </c>
      <c r="AS63" s="9"/>
      <c r="AT63" s="9"/>
      <c r="AU63" s="9"/>
      <c r="AV63" s="9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2"/>
      <c r="CD63" s="62"/>
      <c r="CE63" s="62"/>
      <c r="CF63" s="62"/>
      <c r="CG63" s="62"/>
    </row>
    <row r="64" spans="1:85" s="4" customFormat="1" ht="64.5" customHeight="1" outlineLevel="1" x14ac:dyDescent="0.25">
      <c r="A64" s="25">
        <f t="shared" ref="A64" si="59">A62+1</f>
        <v>48</v>
      </c>
      <c r="B64" s="26" t="s">
        <v>257</v>
      </c>
      <c r="C64" s="27" t="s">
        <v>89</v>
      </c>
      <c r="D64" s="28" t="s">
        <v>18</v>
      </c>
      <c r="E64" s="29">
        <f t="shared" si="2"/>
        <v>1718.8999999999999</v>
      </c>
      <c r="F64" s="29">
        <f>39.2+53.4</f>
        <v>92.6</v>
      </c>
      <c r="G64" s="30">
        <f t="shared" si="3"/>
        <v>0</v>
      </c>
      <c r="H64" s="30"/>
      <c r="I64" s="30">
        <f t="shared" si="4"/>
        <v>0</v>
      </c>
      <c r="J64" s="31">
        <f>139.4+216.4+159.2+31.6+166.7+259.6+167+128.6</f>
        <v>1268.5</v>
      </c>
      <c r="K64" s="30">
        <f t="shared" si="5"/>
        <v>0</v>
      </c>
      <c r="L64" s="30"/>
      <c r="M64" s="30">
        <f t="shared" si="6"/>
        <v>0</v>
      </c>
      <c r="N64" s="29">
        <v>0</v>
      </c>
      <c r="O64" s="30">
        <f t="shared" si="7"/>
        <v>0</v>
      </c>
      <c r="P64" s="30"/>
      <c r="Q64" s="30">
        <f t="shared" si="8"/>
        <v>0</v>
      </c>
      <c r="R64" s="30">
        <v>0</v>
      </c>
      <c r="S64" s="30">
        <f t="shared" ref="S64:S65" si="60">T64/1.18</f>
        <v>0</v>
      </c>
      <c r="T64" s="30"/>
      <c r="U64" s="30">
        <f t="shared" si="9"/>
        <v>0</v>
      </c>
      <c r="V64" s="29">
        <f>17.6+14.9+74.2+32.1+61+31.2+49.8</f>
        <v>280.8</v>
      </c>
      <c r="W64" s="30">
        <f t="shared" si="21"/>
        <v>0</v>
      </c>
      <c r="X64" s="30"/>
      <c r="Y64" s="30">
        <f t="shared" si="11"/>
        <v>0</v>
      </c>
      <c r="Z64" s="31">
        <f>13.7+26.5+15.3</f>
        <v>55.5</v>
      </c>
      <c r="AA64" s="30">
        <f t="shared" si="12"/>
        <v>0</v>
      </c>
      <c r="AB64" s="30"/>
      <c r="AC64" s="30">
        <f t="shared" si="13"/>
        <v>0</v>
      </c>
      <c r="AD64" s="31">
        <f>2.4+8+11.1</f>
        <v>21.5</v>
      </c>
      <c r="AE64" s="30">
        <f t="shared" si="14"/>
        <v>0</v>
      </c>
      <c r="AF64" s="30"/>
      <c r="AG64" s="30">
        <f t="shared" si="15"/>
        <v>0</v>
      </c>
      <c r="AH64" s="30">
        <f t="shared" si="16"/>
        <v>0</v>
      </c>
      <c r="AI64" s="30">
        <f t="shared" si="29"/>
        <v>0</v>
      </c>
      <c r="AJ64" s="31">
        <f>892+187</f>
        <v>1079</v>
      </c>
      <c r="AK64" s="30" t="s">
        <v>314</v>
      </c>
      <c r="AL64" s="32">
        <v>0</v>
      </c>
      <c r="AM64" s="32">
        <f t="shared" si="41"/>
        <v>0</v>
      </c>
      <c r="AN64" s="32"/>
      <c r="AO64" s="32">
        <f t="shared" si="22"/>
        <v>0</v>
      </c>
      <c r="AP64" s="32">
        <f t="shared" si="19"/>
        <v>0</v>
      </c>
      <c r="AQ64" s="33">
        <f t="shared" si="0"/>
        <v>0</v>
      </c>
      <c r="AR64" s="82">
        <f t="shared" si="1"/>
        <v>0</v>
      </c>
      <c r="AS64" s="9"/>
      <c r="AT64" s="9"/>
      <c r="AU64" s="9"/>
      <c r="AV64" s="9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2"/>
      <c r="CD64" s="62"/>
      <c r="CE64" s="62"/>
      <c r="CF64" s="62"/>
      <c r="CG64" s="62"/>
    </row>
    <row r="65" spans="1:85" s="4" customFormat="1" ht="64.5" customHeight="1" outlineLevel="1" x14ac:dyDescent="0.25">
      <c r="A65" s="25">
        <f t="shared" ref="A65" si="61">A64+1</f>
        <v>49</v>
      </c>
      <c r="B65" s="80" t="s">
        <v>20</v>
      </c>
      <c r="C65" s="27" t="s">
        <v>52</v>
      </c>
      <c r="D65" s="28" t="s">
        <v>18</v>
      </c>
      <c r="E65" s="29">
        <f t="shared" si="2"/>
        <v>208.5</v>
      </c>
      <c r="F65" s="29">
        <f>11.1</f>
        <v>11.1</v>
      </c>
      <c r="G65" s="30">
        <f t="shared" si="3"/>
        <v>0</v>
      </c>
      <c r="H65" s="30"/>
      <c r="I65" s="30">
        <f t="shared" si="4"/>
        <v>0</v>
      </c>
      <c r="J65" s="31">
        <f>118.5+41.3</f>
        <v>159.80000000000001</v>
      </c>
      <c r="K65" s="30">
        <f t="shared" si="5"/>
        <v>0</v>
      </c>
      <c r="L65" s="30"/>
      <c r="M65" s="30">
        <f t="shared" si="6"/>
        <v>0</v>
      </c>
      <c r="N65" s="29">
        <v>0</v>
      </c>
      <c r="O65" s="30">
        <f t="shared" si="7"/>
        <v>0</v>
      </c>
      <c r="P65" s="30"/>
      <c r="Q65" s="30">
        <f t="shared" si="8"/>
        <v>0</v>
      </c>
      <c r="R65" s="30">
        <v>0</v>
      </c>
      <c r="S65" s="30">
        <f t="shared" si="60"/>
        <v>0</v>
      </c>
      <c r="T65" s="30"/>
      <c r="U65" s="30">
        <f t="shared" si="9"/>
        <v>0</v>
      </c>
      <c r="V65" s="29">
        <f>32.4</f>
        <v>32.4</v>
      </c>
      <c r="W65" s="30">
        <f t="shared" si="21"/>
        <v>0</v>
      </c>
      <c r="X65" s="30"/>
      <c r="Y65" s="30">
        <f t="shared" si="11"/>
        <v>0</v>
      </c>
      <c r="Z65" s="31">
        <v>0</v>
      </c>
      <c r="AA65" s="30">
        <f t="shared" si="12"/>
        <v>0</v>
      </c>
      <c r="AB65" s="30"/>
      <c r="AC65" s="30">
        <f t="shared" si="13"/>
        <v>0</v>
      </c>
      <c r="AD65" s="31">
        <v>5.2</v>
      </c>
      <c r="AE65" s="30">
        <f t="shared" si="14"/>
        <v>0</v>
      </c>
      <c r="AF65" s="30"/>
      <c r="AG65" s="30">
        <f t="shared" si="15"/>
        <v>0</v>
      </c>
      <c r="AH65" s="30">
        <f t="shared" si="16"/>
        <v>0</v>
      </c>
      <c r="AI65" s="30">
        <f t="shared" si="29"/>
        <v>0</v>
      </c>
      <c r="AJ65" s="31">
        <v>642</v>
      </c>
      <c r="AK65" s="30" t="s">
        <v>314</v>
      </c>
      <c r="AL65" s="32">
        <v>0</v>
      </c>
      <c r="AM65" s="32">
        <f t="shared" si="41"/>
        <v>0</v>
      </c>
      <c r="AN65" s="32"/>
      <c r="AO65" s="32">
        <f t="shared" si="22"/>
        <v>0</v>
      </c>
      <c r="AP65" s="32">
        <f t="shared" si="19"/>
        <v>0</v>
      </c>
      <c r="AQ65" s="33">
        <f t="shared" si="0"/>
        <v>0</v>
      </c>
      <c r="AR65" s="82">
        <f t="shared" si="1"/>
        <v>0</v>
      </c>
      <c r="AS65" s="9"/>
      <c r="AT65" s="9"/>
      <c r="AU65" s="9"/>
      <c r="AV65" s="9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2"/>
      <c r="CD65" s="62"/>
      <c r="CE65" s="62"/>
      <c r="CF65" s="62"/>
      <c r="CG65" s="62"/>
    </row>
    <row r="66" spans="1:85" s="4" customFormat="1" ht="64.5" customHeight="1" outlineLevel="1" x14ac:dyDescent="0.25">
      <c r="A66" s="25">
        <f t="shared" ref="A66" si="62">A64+1</f>
        <v>49</v>
      </c>
      <c r="B66" s="80" t="s">
        <v>257</v>
      </c>
      <c r="C66" s="48" t="s">
        <v>232</v>
      </c>
      <c r="D66" s="28" t="s">
        <v>18</v>
      </c>
      <c r="E66" s="29">
        <f t="shared" si="2"/>
        <v>610.5</v>
      </c>
      <c r="F66" s="29">
        <v>203.2</v>
      </c>
      <c r="G66" s="30">
        <f t="shared" si="3"/>
        <v>0</v>
      </c>
      <c r="H66" s="30"/>
      <c r="I66" s="30">
        <f t="shared" si="4"/>
        <v>0</v>
      </c>
      <c r="J66" s="31">
        <f>183.2+154.6</f>
        <v>337.79999999999995</v>
      </c>
      <c r="K66" s="30">
        <f t="shared" si="5"/>
        <v>0</v>
      </c>
      <c r="L66" s="30"/>
      <c r="M66" s="30">
        <f t="shared" si="6"/>
        <v>0</v>
      </c>
      <c r="N66" s="29">
        <v>0</v>
      </c>
      <c r="O66" s="30">
        <f t="shared" si="7"/>
        <v>0</v>
      </c>
      <c r="P66" s="30"/>
      <c r="Q66" s="30">
        <f t="shared" si="8"/>
        <v>0</v>
      </c>
      <c r="R66" s="30">
        <v>0</v>
      </c>
      <c r="S66" s="30">
        <v>4.2</v>
      </c>
      <c r="T66" s="30"/>
      <c r="U66" s="30">
        <f t="shared" si="9"/>
        <v>0</v>
      </c>
      <c r="V66" s="29">
        <f>58.6+3</f>
        <v>61.6</v>
      </c>
      <c r="W66" s="30">
        <f t="shared" si="21"/>
        <v>0</v>
      </c>
      <c r="X66" s="30"/>
      <c r="Y66" s="30">
        <f t="shared" si="11"/>
        <v>0</v>
      </c>
      <c r="Z66" s="31">
        <v>0</v>
      </c>
      <c r="AA66" s="30">
        <f t="shared" si="12"/>
        <v>0</v>
      </c>
      <c r="AB66" s="30"/>
      <c r="AC66" s="30">
        <f t="shared" si="13"/>
        <v>0</v>
      </c>
      <c r="AD66" s="31">
        <v>7.9</v>
      </c>
      <c r="AE66" s="30">
        <f t="shared" si="14"/>
        <v>0</v>
      </c>
      <c r="AF66" s="30"/>
      <c r="AG66" s="30">
        <f t="shared" si="15"/>
        <v>0</v>
      </c>
      <c r="AH66" s="30">
        <f t="shared" si="16"/>
        <v>0</v>
      </c>
      <c r="AI66" s="30">
        <f t="shared" si="29"/>
        <v>0</v>
      </c>
      <c r="AJ66" s="31">
        <v>499</v>
      </c>
      <c r="AK66" s="30" t="s">
        <v>314</v>
      </c>
      <c r="AL66" s="32">
        <v>0</v>
      </c>
      <c r="AM66" s="32">
        <f t="shared" si="41"/>
        <v>0</v>
      </c>
      <c r="AN66" s="32"/>
      <c r="AO66" s="32">
        <f t="shared" si="22"/>
        <v>0</v>
      </c>
      <c r="AP66" s="32">
        <f t="shared" si="19"/>
        <v>0</v>
      </c>
      <c r="AQ66" s="33">
        <f t="shared" si="0"/>
        <v>0</v>
      </c>
      <c r="AR66" s="82">
        <f t="shared" si="1"/>
        <v>0</v>
      </c>
      <c r="AS66" s="9"/>
      <c r="AT66" s="9"/>
      <c r="AU66" s="9"/>
      <c r="AV66" s="9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2"/>
      <c r="CD66" s="62"/>
      <c r="CE66" s="62"/>
      <c r="CF66" s="62"/>
      <c r="CG66" s="62"/>
    </row>
    <row r="67" spans="1:85" s="4" customFormat="1" ht="64.5" customHeight="1" outlineLevel="1" x14ac:dyDescent="0.25">
      <c r="A67" s="25">
        <f t="shared" ref="A67" si="63">A66+1</f>
        <v>50</v>
      </c>
      <c r="B67" s="80" t="s">
        <v>20</v>
      </c>
      <c r="C67" s="48" t="s">
        <v>53</v>
      </c>
      <c r="D67" s="28" t="s">
        <v>18</v>
      </c>
      <c r="E67" s="29">
        <f t="shared" si="2"/>
        <v>496.6</v>
      </c>
      <c r="F67" s="29">
        <f>61.3</f>
        <v>61.3</v>
      </c>
      <c r="G67" s="30">
        <f t="shared" si="3"/>
        <v>0</v>
      </c>
      <c r="H67" s="30"/>
      <c r="I67" s="30">
        <f t="shared" si="4"/>
        <v>0</v>
      </c>
      <c r="J67" s="31">
        <f>32+157.8+116.3</f>
        <v>306.10000000000002</v>
      </c>
      <c r="K67" s="30">
        <f t="shared" si="5"/>
        <v>0</v>
      </c>
      <c r="L67" s="30"/>
      <c r="M67" s="30">
        <f t="shared" si="6"/>
        <v>0</v>
      </c>
      <c r="N67" s="29">
        <v>0</v>
      </c>
      <c r="O67" s="30">
        <f t="shared" si="7"/>
        <v>0</v>
      </c>
      <c r="P67" s="30"/>
      <c r="Q67" s="30">
        <f t="shared" si="8"/>
        <v>0</v>
      </c>
      <c r="R67" s="30">
        <v>8.6</v>
      </c>
      <c r="S67" s="30">
        <f t="shared" ref="S67" si="64">T67/1.18</f>
        <v>0</v>
      </c>
      <c r="T67" s="30"/>
      <c r="U67" s="30">
        <f t="shared" si="9"/>
        <v>0</v>
      </c>
      <c r="V67" s="29">
        <f>10.1+63+31.2+10.3</f>
        <v>114.6</v>
      </c>
      <c r="W67" s="30">
        <f t="shared" si="21"/>
        <v>0</v>
      </c>
      <c r="X67" s="30"/>
      <c r="Y67" s="30">
        <f t="shared" si="11"/>
        <v>0</v>
      </c>
      <c r="Z67" s="31">
        <v>0</v>
      </c>
      <c r="AA67" s="30">
        <f t="shared" si="12"/>
        <v>0</v>
      </c>
      <c r="AB67" s="30"/>
      <c r="AC67" s="30">
        <f t="shared" si="13"/>
        <v>0</v>
      </c>
      <c r="AD67" s="31">
        <v>6</v>
      </c>
      <c r="AE67" s="30">
        <f t="shared" si="14"/>
        <v>0</v>
      </c>
      <c r="AF67" s="30"/>
      <c r="AG67" s="30">
        <f t="shared" si="15"/>
        <v>0</v>
      </c>
      <c r="AH67" s="30">
        <f t="shared" si="16"/>
        <v>0</v>
      </c>
      <c r="AI67" s="30">
        <f t="shared" si="29"/>
        <v>0</v>
      </c>
      <c r="AJ67" s="31">
        <v>0</v>
      </c>
      <c r="AK67" s="30" t="s">
        <v>314</v>
      </c>
      <c r="AL67" s="32">
        <v>0</v>
      </c>
      <c r="AM67" s="32">
        <f t="shared" si="41"/>
        <v>0</v>
      </c>
      <c r="AN67" s="32"/>
      <c r="AO67" s="32">
        <f t="shared" si="22"/>
        <v>0</v>
      </c>
      <c r="AP67" s="32">
        <f t="shared" si="19"/>
        <v>0</v>
      </c>
      <c r="AQ67" s="33">
        <f t="shared" si="0"/>
        <v>0</v>
      </c>
      <c r="AR67" s="82">
        <f t="shared" si="1"/>
        <v>0</v>
      </c>
      <c r="AS67" s="9"/>
      <c r="AT67" s="9"/>
      <c r="AU67" s="9"/>
      <c r="AV67" s="9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2"/>
      <c r="CD67" s="62"/>
      <c r="CE67" s="62"/>
      <c r="CF67" s="62"/>
      <c r="CG67" s="62"/>
    </row>
    <row r="68" spans="1:85" s="43" customFormat="1" ht="64.5" customHeight="1" outlineLevel="1" x14ac:dyDescent="0.3">
      <c r="A68" s="143" t="s">
        <v>92</v>
      </c>
      <c r="B68" s="144"/>
      <c r="C68" s="144"/>
      <c r="D68" s="101"/>
      <c r="E68" s="29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30"/>
      <c r="AI68" s="30"/>
      <c r="AJ68" s="101"/>
      <c r="AK68" s="30"/>
      <c r="AL68" s="101"/>
      <c r="AM68" s="101"/>
      <c r="AN68" s="101"/>
      <c r="AO68" s="101"/>
      <c r="AP68" s="101"/>
      <c r="AQ68" s="111"/>
      <c r="AR68" s="126"/>
      <c r="AS68" s="42"/>
      <c r="AT68" s="42"/>
      <c r="AU68" s="42"/>
      <c r="AV68" s="42"/>
      <c r="AW68" s="42"/>
      <c r="AX68" s="42"/>
    </row>
    <row r="69" spans="1:85" s="41" customFormat="1" ht="64.5" customHeight="1" outlineLevel="1" x14ac:dyDescent="0.3">
      <c r="A69" s="141" t="s">
        <v>56</v>
      </c>
      <c r="B69" s="142"/>
      <c r="C69" s="142"/>
      <c r="D69" s="105"/>
      <c r="E69" s="29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30"/>
      <c r="AI69" s="30"/>
      <c r="AJ69" s="105"/>
      <c r="AK69" s="30"/>
      <c r="AL69" s="105"/>
      <c r="AM69" s="105"/>
      <c r="AN69" s="105"/>
      <c r="AO69" s="105"/>
      <c r="AP69" s="105"/>
      <c r="AQ69" s="111"/>
      <c r="AR69" s="127"/>
      <c r="AS69" s="40"/>
      <c r="AT69" s="40"/>
      <c r="AU69" s="40"/>
      <c r="AV69" s="40"/>
      <c r="AW69" s="40"/>
      <c r="AX69" s="40"/>
    </row>
    <row r="70" spans="1:85" s="4" customFormat="1" ht="64.5" customHeight="1" outlineLevel="1" x14ac:dyDescent="0.25">
      <c r="A70" s="25">
        <f>A67+1</f>
        <v>51</v>
      </c>
      <c r="B70" s="26" t="s">
        <v>257</v>
      </c>
      <c r="C70" s="27" t="s">
        <v>93</v>
      </c>
      <c r="D70" s="28" t="s">
        <v>18</v>
      </c>
      <c r="E70" s="29">
        <f t="shared" si="2"/>
        <v>2820.1700000000005</v>
      </c>
      <c r="F70" s="29">
        <v>943</v>
      </c>
      <c r="G70" s="30">
        <f t="shared" si="3"/>
        <v>0</v>
      </c>
      <c r="H70" s="30"/>
      <c r="I70" s="30">
        <f t="shared" si="4"/>
        <v>0</v>
      </c>
      <c r="J70" s="31">
        <f>879.07-11.9</f>
        <v>867.17000000000007</v>
      </c>
      <c r="K70" s="30">
        <f t="shared" si="5"/>
        <v>0</v>
      </c>
      <c r="L70" s="30"/>
      <c r="M70" s="30">
        <f t="shared" si="6"/>
        <v>0</v>
      </c>
      <c r="N70" s="29">
        <f>45.4+6</f>
        <v>51.4</v>
      </c>
      <c r="O70" s="30">
        <f t="shared" si="7"/>
        <v>0</v>
      </c>
      <c r="P70" s="30"/>
      <c r="Q70" s="30">
        <f t="shared" si="8"/>
        <v>0</v>
      </c>
      <c r="R70" s="30">
        <f>70+20.6</f>
        <v>90.6</v>
      </c>
      <c r="S70" s="30">
        <f t="shared" ref="S70:S71" si="65">T70/1.18</f>
        <v>0</v>
      </c>
      <c r="T70" s="30"/>
      <c r="U70" s="30">
        <f t="shared" si="9"/>
        <v>0</v>
      </c>
      <c r="V70" s="29">
        <v>718.8</v>
      </c>
      <c r="W70" s="30">
        <f t="shared" si="21"/>
        <v>0</v>
      </c>
      <c r="X70" s="30"/>
      <c r="Y70" s="30">
        <f t="shared" si="11"/>
        <v>0</v>
      </c>
      <c r="Z70" s="31">
        <f>32.6+51.1+24.2</f>
        <v>107.9</v>
      </c>
      <c r="AA70" s="30">
        <f t="shared" si="12"/>
        <v>0</v>
      </c>
      <c r="AB70" s="30"/>
      <c r="AC70" s="30">
        <f t="shared" si="13"/>
        <v>0</v>
      </c>
      <c r="AD70" s="31">
        <v>41.3</v>
      </c>
      <c r="AE70" s="30">
        <f t="shared" si="14"/>
        <v>0</v>
      </c>
      <c r="AF70" s="30"/>
      <c r="AG70" s="30">
        <f t="shared" si="15"/>
        <v>0</v>
      </c>
      <c r="AH70" s="30">
        <f t="shared" si="16"/>
        <v>0</v>
      </c>
      <c r="AI70" s="30">
        <f t="shared" si="29"/>
        <v>0</v>
      </c>
      <c r="AJ70" s="31">
        <f>1798.36+1203.44+93.9</f>
        <v>3095.7000000000003</v>
      </c>
      <c r="AK70" s="30" t="s">
        <v>314</v>
      </c>
      <c r="AL70" s="32">
        <v>0</v>
      </c>
      <c r="AM70" s="32">
        <f t="shared" si="36"/>
        <v>0</v>
      </c>
      <c r="AN70" s="32"/>
      <c r="AO70" s="32">
        <f t="shared" si="22"/>
        <v>0</v>
      </c>
      <c r="AP70" s="32">
        <f t="shared" si="19"/>
        <v>0</v>
      </c>
      <c r="AQ70" s="33">
        <f t="shared" si="0"/>
        <v>0</v>
      </c>
      <c r="AR70" s="82">
        <f t="shared" si="1"/>
        <v>0</v>
      </c>
      <c r="AS70" s="9"/>
      <c r="AT70" s="9"/>
      <c r="AU70" s="9"/>
      <c r="AV70" s="9"/>
      <c r="AW70" s="65"/>
      <c r="AX70" s="65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</row>
    <row r="71" spans="1:85" s="4" customFormat="1" ht="64.5" customHeight="1" outlineLevel="1" x14ac:dyDescent="0.25">
      <c r="A71" s="25">
        <f>A70+1</f>
        <v>52</v>
      </c>
      <c r="B71" s="26" t="s">
        <v>15</v>
      </c>
      <c r="C71" s="27" t="s">
        <v>255</v>
      </c>
      <c r="D71" s="28" t="s">
        <v>18</v>
      </c>
      <c r="E71" s="29">
        <f t="shared" si="2"/>
        <v>188.7</v>
      </c>
      <c r="F71" s="29">
        <f>31.4</f>
        <v>31.4</v>
      </c>
      <c r="G71" s="30">
        <f t="shared" si="3"/>
        <v>0</v>
      </c>
      <c r="H71" s="30"/>
      <c r="I71" s="30">
        <f t="shared" si="4"/>
        <v>0</v>
      </c>
      <c r="J71" s="31">
        <f>34.3+65-18.1</f>
        <v>81.199999999999989</v>
      </c>
      <c r="K71" s="30">
        <f t="shared" si="5"/>
        <v>0</v>
      </c>
      <c r="L71" s="30"/>
      <c r="M71" s="30">
        <f t="shared" si="6"/>
        <v>0</v>
      </c>
      <c r="N71" s="29">
        <v>0</v>
      </c>
      <c r="O71" s="30">
        <f t="shared" si="7"/>
        <v>0</v>
      </c>
      <c r="P71" s="30"/>
      <c r="Q71" s="30">
        <f t="shared" si="8"/>
        <v>0</v>
      </c>
      <c r="R71" s="30">
        <v>0</v>
      </c>
      <c r="S71" s="30">
        <f t="shared" si="65"/>
        <v>0</v>
      </c>
      <c r="T71" s="30"/>
      <c r="U71" s="30">
        <f t="shared" si="9"/>
        <v>0</v>
      </c>
      <c r="V71" s="29">
        <f>59+13.3</f>
        <v>72.3</v>
      </c>
      <c r="W71" s="30">
        <f t="shared" si="21"/>
        <v>0</v>
      </c>
      <c r="X71" s="30"/>
      <c r="Y71" s="30">
        <f t="shared" si="11"/>
        <v>0</v>
      </c>
      <c r="Z71" s="31">
        <v>0</v>
      </c>
      <c r="AA71" s="30">
        <f t="shared" si="12"/>
        <v>0</v>
      </c>
      <c r="AB71" s="30"/>
      <c r="AC71" s="30">
        <f t="shared" si="13"/>
        <v>0</v>
      </c>
      <c r="AD71" s="31">
        <v>3.8</v>
      </c>
      <c r="AE71" s="30">
        <f t="shared" si="14"/>
        <v>0</v>
      </c>
      <c r="AF71" s="30"/>
      <c r="AG71" s="30">
        <f t="shared" si="15"/>
        <v>0</v>
      </c>
      <c r="AH71" s="30">
        <f t="shared" si="16"/>
        <v>0</v>
      </c>
      <c r="AI71" s="30">
        <f t="shared" si="29"/>
        <v>0</v>
      </c>
      <c r="AJ71" s="31">
        <v>71.099999999999994</v>
      </c>
      <c r="AK71" s="30" t="s">
        <v>314</v>
      </c>
      <c r="AL71" s="32">
        <v>0</v>
      </c>
      <c r="AM71" s="32">
        <f t="shared" si="36"/>
        <v>0</v>
      </c>
      <c r="AN71" s="32"/>
      <c r="AO71" s="32">
        <f t="shared" si="22"/>
        <v>0</v>
      </c>
      <c r="AP71" s="32">
        <f t="shared" si="19"/>
        <v>0</v>
      </c>
      <c r="AQ71" s="33">
        <f t="shared" si="0"/>
        <v>0</v>
      </c>
      <c r="AR71" s="82">
        <f t="shared" si="1"/>
        <v>0</v>
      </c>
      <c r="AS71" s="9"/>
      <c r="AT71" s="9"/>
      <c r="AU71" s="9"/>
      <c r="AV71" s="9"/>
      <c r="AW71" s="65"/>
      <c r="AX71" s="65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</row>
    <row r="72" spans="1:85" s="4" customFormat="1" ht="64.5" customHeight="1" outlineLevel="1" x14ac:dyDescent="0.25">
      <c r="A72" s="25">
        <f t="shared" ref="A72:A78" si="66">A71+1</f>
        <v>53</v>
      </c>
      <c r="B72" s="26" t="s">
        <v>20</v>
      </c>
      <c r="C72" s="27" t="s">
        <v>94</v>
      </c>
      <c r="D72" s="28" t="s">
        <v>18</v>
      </c>
      <c r="E72" s="29">
        <f t="shared" si="2"/>
        <v>166.5</v>
      </c>
      <c r="F72" s="29">
        <v>0</v>
      </c>
      <c r="G72" s="30">
        <f t="shared" ref="G72:G135" si="67">H72/1.18</f>
        <v>0</v>
      </c>
      <c r="H72" s="30"/>
      <c r="I72" s="30">
        <f t="shared" si="4"/>
        <v>0</v>
      </c>
      <c r="J72" s="31">
        <v>166.5</v>
      </c>
      <c r="K72" s="30">
        <f t="shared" si="5"/>
        <v>0</v>
      </c>
      <c r="L72" s="30"/>
      <c r="M72" s="30">
        <f t="shared" si="6"/>
        <v>0</v>
      </c>
      <c r="N72" s="29">
        <v>0</v>
      </c>
      <c r="O72" s="30">
        <f t="shared" si="7"/>
        <v>0</v>
      </c>
      <c r="P72" s="30"/>
      <c r="Q72" s="30">
        <f t="shared" si="8"/>
        <v>0</v>
      </c>
      <c r="R72" s="30">
        <v>0</v>
      </c>
      <c r="S72" s="30">
        <v>4.2</v>
      </c>
      <c r="T72" s="30"/>
      <c r="U72" s="30">
        <f t="shared" si="9"/>
        <v>0</v>
      </c>
      <c r="V72" s="29">
        <v>0</v>
      </c>
      <c r="W72" s="30">
        <f t="shared" si="21"/>
        <v>0</v>
      </c>
      <c r="X72" s="30"/>
      <c r="Y72" s="30">
        <f t="shared" si="11"/>
        <v>0</v>
      </c>
      <c r="Z72" s="31">
        <v>0</v>
      </c>
      <c r="AA72" s="30">
        <f t="shared" si="12"/>
        <v>0</v>
      </c>
      <c r="AB72" s="30"/>
      <c r="AC72" s="30">
        <f t="shared" si="13"/>
        <v>0</v>
      </c>
      <c r="AD72" s="31">
        <v>0</v>
      </c>
      <c r="AE72" s="30">
        <f t="shared" si="14"/>
        <v>0</v>
      </c>
      <c r="AF72" s="30"/>
      <c r="AG72" s="30">
        <f t="shared" si="15"/>
        <v>0</v>
      </c>
      <c r="AH72" s="30">
        <f t="shared" si="16"/>
        <v>0</v>
      </c>
      <c r="AI72" s="30">
        <f t="shared" si="29"/>
        <v>0</v>
      </c>
      <c r="AJ72" s="31">
        <v>0</v>
      </c>
      <c r="AK72" s="30" t="s">
        <v>314</v>
      </c>
      <c r="AL72" s="32">
        <v>0</v>
      </c>
      <c r="AM72" s="32">
        <f t="shared" si="36"/>
        <v>0</v>
      </c>
      <c r="AN72" s="32"/>
      <c r="AO72" s="32">
        <f t="shared" si="22"/>
        <v>0</v>
      </c>
      <c r="AP72" s="32">
        <f t="shared" si="19"/>
        <v>0</v>
      </c>
      <c r="AQ72" s="33">
        <f t="shared" si="0"/>
        <v>0</v>
      </c>
      <c r="AR72" s="82">
        <f t="shared" si="1"/>
        <v>0</v>
      </c>
      <c r="AS72" s="9"/>
      <c r="AT72" s="9"/>
      <c r="AU72" s="9"/>
      <c r="AV72" s="9"/>
      <c r="AW72" s="65"/>
      <c r="AX72" s="65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62"/>
      <c r="CD72" s="62"/>
      <c r="CE72" s="62"/>
      <c r="CF72" s="62"/>
      <c r="CG72" s="62"/>
    </row>
    <row r="73" spans="1:85" s="4" customFormat="1" ht="64.5" customHeight="1" outlineLevel="1" x14ac:dyDescent="0.25">
      <c r="A73" s="25">
        <f t="shared" si="66"/>
        <v>54</v>
      </c>
      <c r="B73" s="26" t="s">
        <v>20</v>
      </c>
      <c r="C73" s="27" t="s">
        <v>95</v>
      </c>
      <c r="D73" s="28" t="s">
        <v>18</v>
      </c>
      <c r="E73" s="29">
        <f t="shared" si="2"/>
        <v>8.5</v>
      </c>
      <c r="F73" s="29">
        <v>0</v>
      </c>
      <c r="G73" s="30">
        <f t="shared" si="67"/>
        <v>0</v>
      </c>
      <c r="H73" s="30"/>
      <c r="I73" s="30">
        <f t="shared" si="4"/>
        <v>0</v>
      </c>
      <c r="J73" s="31">
        <v>8.5</v>
      </c>
      <c r="K73" s="30">
        <f t="shared" si="5"/>
        <v>0</v>
      </c>
      <c r="L73" s="30"/>
      <c r="M73" s="30">
        <f t="shared" si="6"/>
        <v>0</v>
      </c>
      <c r="N73" s="29">
        <v>0</v>
      </c>
      <c r="O73" s="30">
        <f t="shared" si="7"/>
        <v>0</v>
      </c>
      <c r="P73" s="30"/>
      <c r="Q73" s="30">
        <f t="shared" si="8"/>
        <v>0</v>
      </c>
      <c r="R73" s="30">
        <v>0</v>
      </c>
      <c r="S73" s="30">
        <f t="shared" ref="S73:S75" si="68">T73/1.18</f>
        <v>0</v>
      </c>
      <c r="T73" s="30"/>
      <c r="U73" s="30">
        <f t="shared" si="9"/>
        <v>0</v>
      </c>
      <c r="V73" s="29">
        <v>0</v>
      </c>
      <c r="W73" s="30">
        <f t="shared" si="21"/>
        <v>0</v>
      </c>
      <c r="X73" s="30"/>
      <c r="Y73" s="30">
        <f t="shared" si="11"/>
        <v>0</v>
      </c>
      <c r="Z73" s="31">
        <v>0</v>
      </c>
      <c r="AA73" s="30">
        <f t="shared" si="12"/>
        <v>0</v>
      </c>
      <c r="AB73" s="30"/>
      <c r="AC73" s="30">
        <f t="shared" si="13"/>
        <v>0</v>
      </c>
      <c r="AD73" s="31">
        <v>0</v>
      </c>
      <c r="AE73" s="30">
        <f t="shared" si="14"/>
        <v>0</v>
      </c>
      <c r="AF73" s="30"/>
      <c r="AG73" s="30">
        <f t="shared" si="15"/>
        <v>0</v>
      </c>
      <c r="AH73" s="30">
        <f t="shared" si="16"/>
        <v>0</v>
      </c>
      <c r="AI73" s="30">
        <f t="shared" si="29"/>
        <v>0</v>
      </c>
      <c r="AJ73" s="31">
        <v>0</v>
      </c>
      <c r="AK73" s="30" t="s">
        <v>314</v>
      </c>
      <c r="AL73" s="32">
        <v>0</v>
      </c>
      <c r="AM73" s="32">
        <f t="shared" si="36"/>
        <v>0</v>
      </c>
      <c r="AN73" s="32"/>
      <c r="AO73" s="32">
        <f t="shared" si="22"/>
        <v>0</v>
      </c>
      <c r="AP73" s="32">
        <f t="shared" si="19"/>
        <v>0</v>
      </c>
      <c r="AQ73" s="33">
        <f t="shared" si="0"/>
        <v>0</v>
      </c>
      <c r="AR73" s="82">
        <f t="shared" si="1"/>
        <v>0</v>
      </c>
      <c r="AS73" s="9"/>
      <c r="AT73" s="9"/>
      <c r="AU73" s="9"/>
      <c r="AV73" s="9"/>
      <c r="AW73" s="65"/>
      <c r="AX73" s="65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</row>
    <row r="74" spans="1:85" s="4" customFormat="1" ht="64.5" customHeight="1" outlineLevel="1" x14ac:dyDescent="0.25">
      <c r="A74" s="25">
        <f t="shared" si="66"/>
        <v>55</v>
      </c>
      <c r="B74" s="26" t="s">
        <v>20</v>
      </c>
      <c r="C74" s="27" t="s">
        <v>96</v>
      </c>
      <c r="D74" s="28" t="s">
        <v>18</v>
      </c>
      <c r="E74" s="29">
        <f t="shared" si="2"/>
        <v>24</v>
      </c>
      <c r="F74" s="29">
        <v>0</v>
      </c>
      <c r="G74" s="30">
        <f t="shared" si="67"/>
        <v>0</v>
      </c>
      <c r="H74" s="30"/>
      <c r="I74" s="30">
        <f t="shared" ref="I74:I142" si="69">H74*F74</f>
        <v>0</v>
      </c>
      <c r="J74" s="31">
        <v>24</v>
      </c>
      <c r="K74" s="30">
        <f t="shared" ref="K74:K142" si="70">L74/1.18</f>
        <v>0</v>
      </c>
      <c r="L74" s="30"/>
      <c r="M74" s="30">
        <f t="shared" ref="M74:M142" si="71">L74*J74</f>
        <v>0</v>
      </c>
      <c r="N74" s="29">
        <v>0</v>
      </c>
      <c r="O74" s="30">
        <f t="shared" ref="O74:O142" si="72">P74/1.18</f>
        <v>0</v>
      </c>
      <c r="P74" s="30"/>
      <c r="Q74" s="30">
        <f t="shared" ref="Q74:Q142" si="73">P74*N74</f>
        <v>0</v>
      </c>
      <c r="R74" s="30">
        <v>0</v>
      </c>
      <c r="S74" s="30">
        <f t="shared" si="68"/>
        <v>0</v>
      </c>
      <c r="T74" s="30"/>
      <c r="U74" s="30">
        <f t="shared" ref="U74:U142" si="74">T74*R74</f>
        <v>0</v>
      </c>
      <c r="V74" s="29">
        <v>0</v>
      </c>
      <c r="W74" s="30">
        <f t="shared" ref="W74:W137" si="75">X74/1.18</f>
        <v>0</v>
      </c>
      <c r="X74" s="30"/>
      <c r="Y74" s="30">
        <f t="shared" ref="Y74:Y142" si="76">X74*V74</f>
        <v>0</v>
      </c>
      <c r="Z74" s="31">
        <v>0</v>
      </c>
      <c r="AA74" s="30">
        <f t="shared" ref="AA74:AA137" si="77">AB74/1.18</f>
        <v>0</v>
      </c>
      <c r="AB74" s="30"/>
      <c r="AC74" s="30">
        <f t="shared" ref="AC74:AC142" si="78">AB74*Z74</f>
        <v>0</v>
      </c>
      <c r="AD74" s="31">
        <v>0</v>
      </c>
      <c r="AE74" s="30">
        <f t="shared" ref="AE74:AE142" si="79">AF74/1.18</f>
        <v>0</v>
      </c>
      <c r="AF74" s="30"/>
      <c r="AG74" s="30">
        <f t="shared" ref="AG74:AG142" si="80">AF74*AD74</f>
        <v>0</v>
      </c>
      <c r="AH74" s="30">
        <f t="shared" si="16"/>
        <v>0</v>
      </c>
      <c r="AI74" s="30">
        <f t="shared" si="29"/>
        <v>0</v>
      </c>
      <c r="AJ74" s="31">
        <v>0</v>
      </c>
      <c r="AK74" s="30" t="s">
        <v>314</v>
      </c>
      <c r="AL74" s="32">
        <v>0</v>
      </c>
      <c r="AM74" s="32">
        <f t="shared" si="36"/>
        <v>0</v>
      </c>
      <c r="AN74" s="32"/>
      <c r="AO74" s="32">
        <f t="shared" si="22"/>
        <v>0</v>
      </c>
      <c r="AP74" s="32">
        <f t="shared" ref="AP74:AP142" si="81">AN74*AJ74</f>
        <v>0</v>
      </c>
      <c r="AQ74" s="33">
        <f t="shared" si="0"/>
        <v>0</v>
      </c>
      <c r="AR74" s="82">
        <f t="shared" si="1"/>
        <v>0</v>
      </c>
      <c r="AS74" s="9"/>
      <c r="AT74" s="9"/>
      <c r="AU74" s="9"/>
      <c r="AV74" s="9"/>
      <c r="AW74" s="65"/>
      <c r="AX74" s="65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</row>
    <row r="75" spans="1:85" s="4" customFormat="1" ht="64.5" customHeight="1" outlineLevel="1" x14ac:dyDescent="0.25">
      <c r="A75" s="25">
        <f t="shared" si="66"/>
        <v>56</v>
      </c>
      <c r="B75" s="26" t="s">
        <v>20</v>
      </c>
      <c r="C75" s="27" t="s">
        <v>97</v>
      </c>
      <c r="D75" s="28" t="s">
        <v>18</v>
      </c>
      <c r="E75" s="29">
        <f t="shared" si="2"/>
        <v>76.699999999999989</v>
      </c>
      <c r="F75" s="29">
        <v>0</v>
      </c>
      <c r="G75" s="30">
        <f t="shared" si="67"/>
        <v>0</v>
      </c>
      <c r="H75" s="30"/>
      <c r="I75" s="30">
        <f t="shared" si="69"/>
        <v>0</v>
      </c>
      <c r="J75" s="31">
        <f>21.4+36.3</f>
        <v>57.699999999999996</v>
      </c>
      <c r="K75" s="30">
        <f t="shared" si="70"/>
        <v>0</v>
      </c>
      <c r="L75" s="30"/>
      <c r="M75" s="30">
        <f t="shared" si="71"/>
        <v>0</v>
      </c>
      <c r="N75" s="29">
        <v>0</v>
      </c>
      <c r="O75" s="30">
        <f t="shared" si="72"/>
        <v>0</v>
      </c>
      <c r="P75" s="30"/>
      <c r="Q75" s="30">
        <f t="shared" si="73"/>
        <v>0</v>
      </c>
      <c r="R75" s="30">
        <v>0</v>
      </c>
      <c r="S75" s="30">
        <f t="shared" si="68"/>
        <v>0</v>
      </c>
      <c r="T75" s="30"/>
      <c r="U75" s="30">
        <f t="shared" si="74"/>
        <v>0</v>
      </c>
      <c r="V75" s="29">
        <f>10.4+8.6</f>
        <v>19</v>
      </c>
      <c r="W75" s="30">
        <f t="shared" si="75"/>
        <v>0</v>
      </c>
      <c r="X75" s="30"/>
      <c r="Y75" s="30">
        <f t="shared" si="76"/>
        <v>0</v>
      </c>
      <c r="Z75" s="31">
        <v>0</v>
      </c>
      <c r="AA75" s="30">
        <f t="shared" si="77"/>
        <v>0</v>
      </c>
      <c r="AB75" s="30"/>
      <c r="AC75" s="30">
        <f t="shared" si="78"/>
        <v>0</v>
      </c>
      <c r="AD75" s="31">
        <v>0</v>
      </c>
      <c r="AE75" s="30">
        <f t="shared" si="79"/>
        <v>0</v>
      </c>
      <c r="AF75" s="30"/>
      <c r="AG75" s="30">
        <f t="shared" si="80"/>
        <v>0</v>
      </c>
      <c r="AH75" s="30">
        <f t="shared" si="16"/>
        <v>0</v>
      </c>
      <c r="AI75" s="30">
        <f t="shared" si="29"/>
        <v>0</v>
      </c>
      <c r="AJ75" s="31">
        <v>0</v>
      </c>
      <c r="AK75" s="30" t="s">
        <v>314</v>
      </c>
      <c r="AL75" s="32">
        <v>0</v>
      </c>
      <c r="AM75" s="32">
        <f t="shared" si="36"/>
        <v>0</v>
      </c>
      <c r="AN75" s="32"/>
      <c r="AO75" s="32">
        <f t="shared" ref="AO75:AO143" si="82">AM75*AJ75</f>
        <v>0</v>
      </c>
      <c r="AP75" s="32">
        <f t="shared" si="81"/>
        <v>0</v>
      </c>
      <c r="AQ75" s="33">
        <f t="shared" si="0"/>
        <v>0</v>
      </c>
      <c r="AR75" s="82">
        <f t="shared" si="1"/>
        <v>0</v>
      </c>
      <c r="AS75" s="9"/>
      <c r="AT75" s="9"/>
      <c r="AU75" s="9"/>
      <c r="AV75" s="9"/>
      <c r="AW75" s="65"/>
      <c r="AX75" s="65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</row>
    <row r="76" spans="1:85" s="4" customFormat="1" ht="64.5" customHeight="1" outlineLevel="1" x14ac:dyDescent="0.25">
      <c r="A76" s="25">
        <f t="shared" si="66"/>
        <v>57</v>
      </c>
      <c r="B76" s="26" t="s">
        <v>20</v>
      </c>
      <c r="C76" s="27" t="s">
        <v>98</v>
      </c>
      <c r="D76" s="28" t="s">
        <v>18</v>
      </c>
      <c r="E76" s="29">
        <f t="shared" si="2"/>
        <v>85</v>
      </c>
      <c r="F76" s="29">
        <f>21.7+12.2</f>
        <v>33.9</v>
      </c>
      <c r="G76" s="30">
        <f t="shared" si="67"/>
        <v>0</v>
      </c>
      <c r="H76" s="30"/>
      <c r="I76" s="30">
        <f t="shared" si="69"/>
        <v>0</v>
      </c>
      <c r="J76" s="31">
        <f>40.8-0.3</f>
        <v>40.5</v>
      </c>
      <c r="K76" s="30">
        <f t="shared" si="70"/>
        <v>0</v>
      </c>
      <c r="L76" s="30"/>
      <c r="M76" s="30">
        <f t="shared" si="71"/>
        <v>0</v>
      </c>
      <c r="N76" s="29">
        <v>0</v>
      </c>
      <c r="O76" s="30">
        <f t="shared" si="72"/>
        <v>0</v>
      </c>
      <c r="P76" s="30"/>
      <c r="Q76" s="30">
        <f t="shared" si="73"/>
        <v>0</v>
      </c>
      <c r="R76" s="30">
        <v>0</v>
      </c>
      <c r="S76" s="30">
        <v>4.2</v>
      </c>
      <c r="T76" s="30"/>
      <c r="U76" s="30">
        <f t="shared" si="74"/>
        <v>0</v>
      </c>
      <c r="V76" s="29">
        <v>10.6</v>
      </c>
      <c r="W76" s="30">
        <f t="shared" si="75"/>
        <v>0</v>
      </c>
      <c r="X76" s="30"/>
      <c r="Y76" s="30">
        <f t="shared" si="76"/>
        <v>0</v>
      </c>
      <c r="Z76" s="31">
        <v>0</v>
      </c>
      <c r="AA76" s="30">
        <f t="shared" si="77"/>
        <v>0</v>
      </c>
      <c r="AB76" s="30"/>
      <c r="AC76" s="30">
        <f t="shared" si="78"/>
        <v>0</v>
      </c>
      <c r="AD76" s="31">
        <v>0</v>
      </c>
      <c r="AE76" s="30">
        <f t="shared" si="79"/>
        <v>0</v>
      </c>
      <c r="AF76" s="30"/>
      <c r="AG76" s="30">
        <f t="shared" si="80"/>
        <v>0</v>
      </c>
      <c r="AH76" s="30">
        <f t="shared" si="16"/>
        <v>0</v>
      </c>
      <c r="AI76" s="30">
        <f t="shared" si="29"/>
        <v>0</v>
      </c>
      <c r="AJ76" s="31">
        <v>0</v>
      </c>
      <c r="AK76" s="30" t="s">
        <v>314</v>
      </c>
      <c r="AL76" s="32">
        <v>0</v>
      </c>
      <c r="AM76" s="32">
        <f t="shared" si="36"/>
        <v>0</v>
      </c>
      <c r="AN76" s="32"/>
      <c r="AO76" s="32">
        <f t="shared" si="82"/>
        <v>0</v>
      </c>
      <c r="AP76" s="32">
        <f t="shared" si="81"/>
        <v>0</v>
      </c>
      <c r="AQ76" s="33">
        <f t="shared" ref="AQ76:AR139" si="83">AH76+AO76</f>
        <v>0</v>
      </c>
      <c r="AR76" s="82">
        <f t="shared" si="83"/>
        <v>0</v>
      </c>
      <c r="AS76" s="9"/>
      <c r="AT76" s="9"/>
      <c r="AU76" s="9"/>
      <c r="AV76" s="9"/>
      <c r="AW76" s="65"/>
      <c r="AX76" s="65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</row>
    <row r="77" spans="1:85" s="4" customFormat="1" ht="64.5" customHeight="1" outlineLevel="1" x14ac:dyDescent="0.25">
      <c r="A77" s="25">
        <f t="shared" si="66"/>
        <v>58</v>
      </c>
      <c r="B77" s="109" t="s">
        <v>20</v>
      </c>
      <c r="C77" s="53" t="s">
        <v>283</v>
      </c>
      <c r="D77" s="54"/>
      <c r="E77" s="29">
        <f t="shared" ref="E77:E140" si="84">F77+J77+N77+R77+V77+Z77+AD77</f>
        <v>12</v>
      </c>
      <c r="F77" s="29">
        <v>0</v>
      </c>
      <c r="G77" s="30">
        <f t="shared" ref="G77:G78" si="85">H77/1.18</f>
        <v>0</v>
      </c>
      <c r="H77" s="30"/>
      <c r="I77" s="30">
        <f t="shared" ref="I77:I78" si="86">H77*F77</f>
        <v>0</v>
      </c>
      <c r="J77" s="31">
        <v>12</v>
      </c>
      <c r="K77" s="30">
        <f t="shared" ref="K77:K78" si="87">L77/1.18</f>
        <v>0</v>
      </c>
      <c r="L77" s="30"/>
      <c r="M77" s="30">
        <f t="shared" ref="M77:M78" si="88">L77*J77</f>
        <v>0</v>
      </c>
      <c r="N77" s="29">
        <v>0</v>
      </c>
      <c r="O77" s="30">
        <f t="shared" ref="O77:O78" si="89">P77/1.18</f>
        <v>0</v>
      </c>
      <c r="P77" s="30"/>
      <c r="Q77" s="30">
        <f t="shared" ref="Q77:Q78" si="90">P77*N77</f>
        <v>0</v>
      </c>
      <c r="R77" s="30">
        <v>0</v>
      </c>
      <c r="S77" s="30">
        <f t="shared" ref="S77" si="91">T77/1.18</f>
        <v>0</v>
      </c>
      <c r="T77" s="30"/>
      <c r="U77" s="30">
        <f t="shared" ref="U77:U78" si="92">T77*R77</f>
        <v>0</v>
      </c>
      <c r="V77" s="29">
        <v>0</v>
      </c>
      <c r="W77" s="30">
        <f t="shared" ref="W77:W78" si="93">X77/1.18</f>
        <v>0</v>
      </c>
      <c r="X77" s="30"/>
      <c r="Y77" s="30">
        <f t="shared" ref="Y77:Y78" si="94">X77*V77</f>
        <v>0</v>
      </c>
      <c r="Z77" s="31">
        <v>0</v>
      </c>
      <c r="AA77" s="30">
        <f t="shared" ref="AA77:AA78" si="95">AB77/1.18</f>
        <v>0</v>
      </c>
      <c r="AB77" s="30"/>
      <c r="AC77" s="30">
        <f t="shared" ref="AC77:AC78" si="96">AB77*Z77</f>
        <v>0</v>
      </c>
      <c r="AD77" s="31">
        <v>0</v>
      </c>
      <c r="AE77" s="30">
        <f t="shared" ref="AE77:AE78" si="97">AF77/1.18</f>
        <v>0</v>
      </c>
      <c r="AF77" s="30"/>
      <c r="AG77" s="30">
        <f t="shared" ref="AG77:AG78" si="98">AF77*AD77</f>
        <v>0</v>
      </c>
      <c r="AH77" s="30">
        <f t="shared" ref="AH77:AH140" si="99">AI77/1.18</f>
        <v>0</v>
      </c>
      <c r="AI77" s="30">
        <f t="shared" si="29"/>
        <v>0</v>
      </c>
      <c r="AJ77" s="31">
        <v>0</v>
      </c>
      <c r="AK77" s="30" t="s">
        <v>314</v>
      </c>
      <c r="AL77" s="32">
        <v>0</v>
      </c>
      <c r="AM77" s="32">
        <f t="shared" ref="AM77:AM78" si="100">AN77/1.18</f>
        <v>0</v>
      </c>
      <c r="AN77" s="32"/>
      <c r="AO77" s="32">
        <f t="shared" ref="AO77:AO78" si="101">AM77*AJ77</f>
        <v>0</v>
      </c>
      <c r="AP77" s="32">
        <f t="shared" ref="AP77:AP78" si="102">AN77*AJ77</f>
        <v>0</v>
      </c>
      <c r="AQ77" s="33">
        <f t="shared" si="83"/>
        <v>0</v>
      </c>
      <c r="AR77" s="82">
        <f t="shared" si="83"/>
        <v>0</v>
      </c>
      <c r="AS77" s="9"/>
      <c r="AT77" s="9"/>
      <c r="AU77" s="9"/>
      <c r="AV77" s="9"/>
      <c r="AW77" s="65"/>
      <c r="AX77" s="65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</row>
    <row r="78" spans="1:85" s="4" customFormat="1" ht="64.5" customHeight="1" outlineLevel="1" x14ac:dyDescent="0.25">
      <c r="A78" s="25">
        <f t="shared" si="66"/>
        <v>59</v>
      </c>
      <c r="B78" s="109" t="s">
        <v>20</v>
      </c>
      <c r="C78" s="53" t="s">
        <v>284</v>
      </c>
      <c r="D78" s="54"/>
      <c r="E78" s="29">
        <f t="shared" si="84"/>
        <v>12</v>
      </c>
      <c r="F78" s="29">
        <v>0</v>
      </c>
      <c r="G78" s="30">
        <f t="shared" si="85"/>
        <v>0</v>
      </c>
      <c r="H78" s="30"/>
      <c r="I78" s="30">
        <f t="shared" si="86"/>
        <v>0</v>
      </c>
      <c r="J78" s="31">
        <v>12</v>
      </c>
      <c r="K78" s="30">
        <f t="shared" si="87"/>
        <v>0</v>
      </c>
      <c r="L78" s="30"/>
      <c r="M78" s="30">
        <f t="shared" si="88"/>
        <v>0</v>
      </c>
      <c r="N78" s="29">
        <v>0</v>
      </c>
      <c r="O78" s="30">
        <f t="shared" si="89"/>
        <v>0</v>
      </c>
      <c r="P78" s="30"/>
      <c r="Q78" s="30">
        <f t="shared" si="90"/>
        <v>0</v>
      </c>
      <c r="R78" s="30">
        <v>0</v>
      </c>
      <c r="S78" s="30">
        <v>4.2</v>
      </c>
      <c r="T78" s="30"/>
      <c r="U78" s="30">
        <f t="shared" si="92"/>
        <v>0</v>
      </c>
      <c r="V78" s="29">
        <v>0</v>
      </c>
      <c r="W78" s="30">
        <f t="shared" si="93"/>
        <v>0</v>
      </c>
      <c r="X78" s="30"/>
      <c r="Y78" s="30">
        <f t="shared" si="94"/>
        <v>0</v>
      </c>
      <c r="Z78" s="31">
        <v>0</v>
      </c>
      <c r="AA78" s="30">
        <f t="shared" si="95"/>
        <v>0</v>
      </c>
      <c r="AB78" s="30"/>
      <c r="AC78" s="30">
        <f t="shared" si="96"/>
        <v>0</v>
      </c>
      <c r="AD78" s="31">
        <v>0</v>
      </c>
      <c r="AE78" s="30">
        <f t="shared" si="97"/>
        <v>0</v>
      </c>
      <c r="AF78" s="30"/>
      <c r="AG78" s="30">
        <f t="shared" si="98"/>
        <v>0</v>
      </c>
      <c r="AH78" s="30">
        <f t="shared" si="99"/>
        <v>0</v>
      </c>
      <c r="AI78" s="30">
        <f t="shared" si="29"/>
        <v>0</v>
      </c>
      <c r="AJ78" s="31">
        <v>0</v>
      </c>
      <c r="AK78" s="30" t="s">
        <v>314</v>
      </c>
      <c r="AL78" s="32">
        <v>0</v>
      </c>
      <c r="AM78" s="32">
        <f t="shared" si="100"/>
        <v>0</v>
      </c>
      <c r="AN78" s="32"/>
      <c r="AO78" s="32">
        <f t="shared" si="101"/>
        <v>0</v>
      </c>
      <c r="AP78" s="32">
        <f t="shared" si="102"/>
        <v>0</v>
      </c>
      <c r="AQ78" s="33">
        <f t="shared" si="83"/>
        <v>0</v>
      </c>
      <c r="AR78" s="82">
        <f t="shared" si="83"/>
        <v>0</v>
      </c>
      <c r="AS78" s="9"/>
      <c r="AT78" s="9"/>
      <c r="AU78" s="9"/>
      <c r="AV78" s="9"/>
      <c r="AW78" s="65"/>
      <c r="AX78" s="65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</row>
    <row r="79" spans="1:85" s="88" customFormat="1" ht="64.5" customHeight="1" outlineLevel="1" x14ac:dyDescent="0.25">
      <c r="A79" s="141" t="s">
        <v>233</v>
      </c>
      <c r="B79" s="142"/>
      <c r="C79" s="142"/>
      <c r="D79" s="105"/>
      <c r="E79" s="29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30"/>
      <c r="AI79" s="30"/>
      <c r="AJ79" s="105"/>
      <c r="AK79" s="30"/>
      <c r="AL79" s="105"/>
      <c r="AM79" s="105"/>
      <c r="AN79" s="105"/>
      <c r="AO79" s="105"/>
      <c r="AP79" s="105"/>
      <c r="AQ79" s="111"/>
      <c r="AR79" s="127"/>
      <c r="AT79" s="9"/>
      <c r="AU79" s="9"/>
      <c r="AV79" s="9"/>
      <c r="AW79" s="9"/>
      <c r="AX79" s="9"/>
    </row>
    <row r="80" spans="1:85" s="4" customFormat="1" ht="64.5" customHeight="1" outlineLevel="1" x14ac:dyDescent="0.25">
      <c r="A80" s="25">
        <f>A78+1</f>
        <v>60</v>
      </c>
      <c r="B80" s="26" t="s">
        <v>273</v>
      </c>
      <c r="C80" s="27" t="s">
        <v>99</v>
      </c>
      <c r="D80" s="28" t="s">
        <v>18</v>
      </c>
      <c r="E80" s="29">
        <f t="shared" si="84"/>
        <v>1124.7</v>
      </c>
      <c r="F80" s="29">
        <f>95.8</f>
        <v>95.8</v>
      </c>
      <c r="G80" s="30">
        <f t="shared" si="67"/>
        <v>0</v>
      </c>
      <c r="H80" s="30"/>
      <c r="I80" s="30">
        <f t="shared" si="69"/>
        <v>0</v>
      </c>
      <c r="J80" s="31">
        <f>329.3+59.2+294.2</f>
        <v>682.7</v>
      </c>
      <c r="K80" s="30">
        <f t="shared" si="70"/>
        <v>0</v>
      </c>
      <c r="L80" s="30"/>
      <c r="M80" s="30">
        <f t="shared" si="71"/>
        <v>0</v>
      </c>
      <c r="N80" s="29">
        <v>0</v>
      </c>
      <c r="O80" s="30">
        <f t="shared" si="72"/>
        <v>0</v>
      </c>
      <c r="P80" s="30"/>
      <c r="Q80" s="30">
        <f t="shared" si="73"/>
        <v>0</v>
      </c>
      <c r="R80" s="30">
        <f>6.5+55</f>
        <v>61.5</v>
      </c>
      <c r="S80" s="30">
        <f t="shared" ref="S80:S81" si="103">T80/1.18</f>
        <v>0</v>
      </c>
      <c r="T80" s="30"/>
      <c r="U80" s="30">
        <f t="shared" si="74"/>
        <v>0</v>
      </c>
      <c r="V80" s="29">
        <f>90.4+5+52+12+48.1</f>
        <v>207.5</v>
      </c>
      <c r="W80" s="30">
        <f t="shared" si="75"/>
        <v>0</v>
      </c>
      <c r="X80" s="30"/>
      <c r="Y80" s="30">
        <f t="shared" si="76"/>
        <v>0</v>
      </c>
      <c r="Z80" s="31">
        <v>0</v>
      </c>
      <c r="AA80" s="30">
        <f t="shared" si="77"/>
        <v>0</v>
      </c>
      <c r="AB80" s="30"/>
      <c r="AC80" s="30">
        <f t="shared" si="78"/>
        <v>0</v>
      </c>
      <c r="AD80" s="31">
        <v>77.2</v>
      </c>
      <c r="AE80" s="30">
        <f t="shared" si="79"/>
        <v>0</v>
      </c>
      <c r="AF80" s="30"/>
      <c r="AG80" s="30">
        <f t="shared" si="80"/>
        <v>0</v>
      </c>
      <c r="AH80" s="30">
        <f t="shared" si="99"/>
        <v>0</v>
      </c>
      <c r="AI80" s="30">
        <f t="shared" si="29"/>
        <v>0</v>
      </c>
      <c r="AJ80" s="31">
        <f>1516+6</f>
        <v>1522</v>
      </c>
      <c r="AK80" s="30" t="s">
        <v>314</v>
      </c>
      <c r="AL80" s="32">
        <v>0</v>
      </c>
      <c r="AM80" s="32">
        <f t="shared" ref="AM80:AM137" si="104">AN80/1.18</f>
        <v>0</v>
      </c>
      <c r="AN80" s="32"/>
      <c r="AO80" s="32">
        <f t="shared" si="82"/>
        <v>0</v>
      </c>
      <c r="AP80" s="32">
        <f t="shared" si="81"/>
        <v>0</v>
      </c>
      <c r="AQ80" s="33">
        <f t="shared" si="83"/>
        <v>0</v>
      </c>
      <c r="AR80" s="82">
        <f t="shared" si="83"/>
        <v>0</v>
      </c>
      <c r="AS80" s="9"/>
      <c r="AT80" s="9"/>
      <c r="AU80" s="9"/>
      <c r="AV80" s="9"/>
      <c r="AW80" s="65"/>
      <c r="AX80" s="65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</row>
    <row r="81" spans="1:85" s="4" customFormat="1" ht="64.5" customHeight="1" outlineLevel="1" x14ac:dyDescent="0.25">
      <c r="A81" s="25">
        <f>A80+1</f>
        <v>61</v>
      </c>
      <c r="B81" s="26" t="s">
        <v>256</v>
      </c>
      <c r="C81" s="27" t="s">
        <v>100</v>
      </c>
      <c r="D81" s="28" t="s">
        <v>18</v>
      </c>
      <c r="E81" s="29">
        <f t="shared" si="84"/>
        <v>1298</v>
      </c>
      <c r="F81" s="29">
        <f>85.1+65+185.4+62.5+56.3</f>
        <v>454.3</v>
      </c>
      <c r="G81" s="30">
        <f t="shared" si="67"/>
        <v>0</v>
      </c>
      <c r="H81" s="30"/>
      <c r="I81" s="30">
        <f t="shared" ref="I81:I84" si="105">H81*F81</f>
        <v>0</v>
      </c>
      <c r="J81" s="31">
        <v>297.8</v>
      </c>
      <c r="K81" s="30">
        <f t="shared" ref="K81:K85" si="106">L81/1.18</f>
        <v>0</v>
      </c>
      <c r="L81" s="30"/>
      <c r="M81" s="30">
        <f t="shared" ref="M81:M85" si="107">L81*J81</f>
        <v>0</v>
      </c>
      <c r="N81" s="29">
        <f>63+64.1</f>
        <v>127.1</v>
      </c>
      <c r="O81" s="30">
        <f t="shared" ref="O81:O83" si="108">P81/1.18</f>
        <v>0</v>
      </c>
      <c r="P81" s="30"/>
      <c r="Q81" s="30">
        <f t="shared" ref="Q81:Q83" si="109">P81*N81</f>
        <v>0</v>
      </c>
      <c r="R81" s="30">
        <f>30.3+10+1</f>
        <v>41.3</v>
      </c>
      <c r="S81" s="30">
        <f t="shared" si="103"/>
        <v>0</v>
      </c>
      <c r="T81" s="30"/>
      <c r="U81" s="30">
        <f t="shared" ref="U81:U84" si="110">T81*R81</f>
        <v>0</v>
      </c>
      <c r="V81" s="29">
        <f>101.9+74.9+11.5+32.7+91.9+35.1+8.1</f>
        <v>356.1</v>
      </c>
      <c r="W81" s="30">
        <f t="shared" si="75"/>
        <v>0</v>
      </c>
      <c r="X81" s="30"/>
      <c r="Y81" s="30">
        <f t="shared" ref="Y81:Y84" si="111">X81*V81</f>
        <v>0</v>
      </c>
      <c r="Z81" s="31">
        <v>0</v>
      </c>
      <c r="AA81" s="30">
        <f t="shared" si="77"/>
        <v>0</v>
      </c>
      <c r="AB81" s="30"/>
      <c r="AC81" s="30">
        <f t="shared" ref="AC81:AC97" si="112">AB81*Z81</f>
        <v>0</v>
      </c>
      <c r="AD81" s="31">
        <v>21.4</v>
      </c>
      <c r="AE81" s="30">
        <f t="shared" ref="AE81:AE84" si="113">AF81/1.18</f>
        <v>0</v>
      </c>
      <c r="AF81" s="30"/>
      <c r="AG81" s="30">
        <f t="shared" ref="AG81:AG84" si="114">AF81*AD81</f>
        <v>0</v>
      </c>
      <c r="AH81" s="30">
        <f t="shared" si="99"/>
        <v>0</v>
      </c>
      <c r="AI81" s="30">
        <f t="shared" si="29"/>
        <v>0</v>
      </c>
      <c r="AJ81" s="31">
        <f>1472.6+63</f>
        <v>1535.6</v>
      </c>
      <c r="AK81" s="30" t="s">
        <v>314</v>
      </c>
      <c r="AL81" s="32">
        <v>0</v>
      </c>
      <c r="AM81" s="32">
        <f t="shared" si="104"/>
        <v>0</v>
      </c>
      <c r="AN81" s="32"/>
      <c r="AO81" s="32">
        <f t="shared" ref="AO81:AO83" si="115">AM81*AJ81</f>
        <v>0</v>
      </c>
      <c r="AP81" s="32">
        <f t="shared" ref="AP81:AP83" si="116">AN81*AJ81</f>
        <v>0</v>
      </c>
      <c r="AQ81" s="33">
        <f t="shared" si="83"/>
        <v>0</v>
      </c>
      <c r="AR81" s="82">
        <f t="shared" si="83"/>
        <v>0</v>
      </c>
      <c r="AS81" s="9"/>
      <c r="AT81" s="9"/>
      <c r="AU81" s="9"/>
      <c r="AV81" s="9"/>
      <c r="AW81" s="65"/>
      <c r="AX81" s="65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</row>
    <row r="82" spans="1:85" s="4" customFormat="1" ht="64.5" customHeight="1" outlineLevel="1" x14ac:dyDescent="0.25">
      <c r="A82" s="25">
        <f t="shared" ref="A82:A97" si="117">A81+1</f>
        <v>62</v>
      </c>
      <c r="B82" s="26" t="s">
        <v>20</v>
      </c>
      <c r="C82" s="27" t="s">
        <v>101</v>
      </c>
      <c r="D82" s="28" t="s">
        <v>18</v>
      </c>
      <c r="E82" s="29">
        <f t="shared" si="84"/>
        <v>228.4</v>
      </c>
      <c r="F82" s="29">
        <f>35.1+14.2</f>
        <v>49.3</v>
      </c>
      <c r="G82" s="30">
        <f t="shared" si="67"/>
        <v>0</v>
      </c>
      <c r="H82" s="30"/>
      <c r="I82" s="30">
        <f t="shared" si="105"/>
        <v>0</v>
      </c>
      <c r="J82" s="31">
        <f>5+42.7+3.8</f>
        <v>51.5</v>
      </c>
      <c r="K82" s="30">
        <f t="shared" si="106"/>
        <v>0</v>
      </c>
      <c r="L82" s="30"/>
      <c r="M82" s="30">
        <f t="shared" si="107"/>
        <v>0</v>
      </c>
      <c r="N82" s="29">
        <v>0</v>
      </c>
      <c r="O82" s="30">
        <f t="shared" si="108"/>
        <v>0</v>
      </c>
      <c r="P82" s="30"/>
      <c r="Q82" s="30">
        <f t="shared" si="109"/>
        <v>0</v>
      </c>
      <c r="R82" s="30">
        <v>4.9000000000000004</v>
      </c>
      <c r="S82" s="30">
        <v>4.2</v>
      </c>
      <c r="T82" s="30"/>
      <c r="U82" s="30">
        <f t="shared" si="110"/>
        <v>0</v>
      </c>
      <c r="V82" s="29">
        <f>80.5+42.2</f>
        <v>122.7</v>
      </c>
      <c r="W82" s="30">
        <f t="shared" si="75"/>
        <v>0</v>
      </c>
      <c r="X82" s="30"/>
      <c r="Y82" s="30">
        <f t="shared" si="111"/>
        <v>0</v>
      </c>
      <c r="Z82" s="31">
        <v>0</v>
      </c>
      <c r="AA82" s="30">
        <f t="shared" si="77"/>
        <v>0</v>
      </c>
      <c r="AB82" s="30"/>
      <c r="AC82" s="30">
        <f t="shared" si="112"/>
        <v>0</v>
      </c>
      <c r="AD82" s="31">
        <v>0</v>
      </c>
      <c r="AE82" s="30">
        <f t="shared" si="113"/>
        <v>0</v>
      </c>
      <c r="AF82" s="30"/>
      <c r="AG82" s="30">
        <f t="shared" si="114"/>
        <v>0</v>
      </c>
      <c r="AH82" s="30">
        <f t="shared" si="99"/>
        <v>0</v>
      </c>
      <c r="AI82" s="30">
        <f t="shared" si="29"/>
        <v>0</v>
      </c>
      <c r="AJ82" s="31">
        <f>531.4+12</f>
        <v>543.4</v>
      </c>
      <c r="AK82" s="30" t="s">
        <v>314</v>
      </c>
      <c r="AL82" s="32">
        <v>0</v>
      </c>
      <c r="AM82" s="32">
        <f t="shared" si="104"/>
        <v>0</v>
      </c>
      <c r="AN82" s="32"/>
      <c r="AO82" s="32">
        <f t="shared" si="115"/>
        <v>0</v>
      </c>
      <c r="AP82" s="32">
        <f t="shared" si="116"/>
        <v>0</v>
      </c>
      <c r="AQ82" s="33">
        <f t="shared" si="83"/>
        <v>0</v>
      </c>
      <c r="AR82" s="82">
        <f t="shared" si="83"/>
        <v>0</v>
      </c>
      <c r="AS82" s="9"/>
      <c r="AT82" s="9"/>
      <c r="AU82" s="9"/>
      <c r="AV82" s="9"/>
      <c r="AW82" s="65"/>
      <c r="AX82" s="65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</row>
    <row r="83" spans="1:85" s="4" customFormat="1" ht="75" outlineLevel="1" x14ac:dyDescent="0.25">
      <c r="A83" s="25">
        <f t="shared" si="117"/>
        <v>63</v>
      </c>
      <c r="B83" s="26" t="s">
        <v>20</v>
      </c>
      <c r="C83" s="27" t="s">
        <v>102</v>
      </c>
      <c r="D83" s="28" t="s">
        <v>18</v>
      </c>
      <c r="E83" s="29">
        <f t="shared" si="84"/>
        <v>53.6</v>
      </c>
      <c r="F83" s="29">
        <v>0</v>
      </c>
      <c r="G83" s="30">
        <f t="shared" si="67"/>
        <v>0</v>
      </c>
      <c r="H83" s="30"/>
      <c r="I83" s="30">
        <f t="shared" si="105"/>
        <v>0</v>
      </c>
      <c r="J83" s="31">
        <f>3.9+7.9+14.5+6.3</f>
        <v>32.6</v>
      </c>
      <c r="K83" s="30">
        <f t="shared" si="106"/>
        <v>0</v>
      </c>
      <c r="L83" s="30"/>
      <c r="M83" s="30">
        <f t="shared" si="107"/>
        <v>0</v>
      </c>
      <c r="N83" s="29">
        <f>20.1+0.9</f>
        <v>21</v>
      </c>
      <c r="O83" s="30">
        <f t="shared" si="108"/>
        <v>0</v>
      </c>
      <c r="P83" s="30"/>
      <c r="Q83" s="30">
        <f t="shared" si="109"/>
        <v>0</v>
      </c>
      <c r="R83" s="30">
        <v>0</v>
      </c>
      <c r="S83" s="30">
        <f t="shared" ref="S83:S85" si="118">T83/1.18</f>
        <v>0</v>
      </c>
      <c r="T83" s="30"/>
      <c r="U83" s="30">
        <f t="shared" si="110"/>
        <v>0</v>
      </c>
      <c r="V83" s="29">
        <v>0</v>
      </c>
      <c r="W83" s="30">
        <f t="shared" si="75"/>
        <v>0</v>
      </c>
      <c r="X83" s="30"/>
      <c r="Y83" s="30">
        <f t="shared" si="111"/>
        <v>0</v>
      </c>
      <c r="Z83" s="31">
        <v>0</v>
      </c>
      <c r="AA83" s="30">
        <f t="shared" si="77"/>
        <v>0</v>
      </c>
      <c r="AB83" s="30"/>
      <c r="AC83" s="30">
        <f t="shared" si="112"/>
        <v>0</v>
      </c>
      <c r="AD83" s="31">
        <v>0</v>
      </c>
      <c r="AE83" s="30">
        <f t="shared" si="113"/>
        <v>0</v>
      </c>
      <c r="AF83" s="30"/>
      <c r="AG83" s="30">
        <f t="shared" si="114"/>
        <v>0</v>
      </c>
      <c r="AH83" s="30">
        <f t="shared" si="99"/>
        <v>0</v>
      </c>
      <c r="AI83" s="30">
        <f t="shared" si="29"/>
        <v>0</v>
      </c>
      <c r="AJ83" s="31">
        <f>1212.9+6</f>
        <v>1218.9000000000001</v>
      </c>
      <c r="AK83" s="30" t="s">
        <v>314</v>
      </c>
      <c r="AL83" s="32">
        <v>0</v>
      </c>
      <c r="AM83" s="32">
        <f t="shared" si="104"/>
        <v>0</v>
      </c>
      <c r="AN83" s="32"/>
      <c r="AO83" s="32">
        <f t="shared" si="115"/>
        <v>0</v>
      </c>
      <c r="AP83" s="32">
        <f t="shared" si="116"/>
        <v>0</v>
      </c>
      <c r="AQ83" s="33">
        <f t="shared" si="83"/>
        <v>0</v>
      </c>
      <c r="AR83" s="82">
        <f t="shared" si="83"/>
        <v>0</v>
      </c>
      <c r="AS83" s="9"/>
      <c r="AT83" s="9"/>
      <c r="AU83" s="9"/>
      <c r="AV83" s="9"/>
      <c r="AW83" s="65"/>
      <c r="AX83" s="65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</row>
    <row r="84" spans="1:85" s="4" customFormat="1" ht="75" outlineLevel="1" x14ac:dyDescent="0.25">
      <c r="A84" s="25">
        <f t="shared" si="117"/>
        <v>64</v>
      </c>
      <c r="B84" s="26" t="s">
        <v>20</v>
      </c>
      <c r="C84" s="27" t="s">
        <v>103</v>
      </c>
      <c r="D84" s="28" t="s">
        <v>18</v>
      </c>
      <c r="E84" s="29">
        <f t="shared" si="84"/>
        <v>123.00000000000001</v>
      </c>
      <c r="F84" s="29">
        <v>0</v>
      </c>
      <c r="G84" s="30">
        <f t="shared" si="67"/>
        <v>0</v>
      </c>
      <c r="H84" s="30"/>
      <c r="I84" s="30">
        <f t="shared" si="105"/>
        <v>0</v>
      </c>
      <c r="J84" s="31">
        <f>18.2+4.7+17.8+14.6+16+18.4+13.1</f>
        <v>102.80000000000001</v>
      </c>
      <c r="K84" s="30">
        <f t="shared" si="106"/>
        <v>0</v>
      </c>
      <c r="L84" s="30"/>
      <c r="M84" s="30">
        <f t="shared" si="107"/>
        <v>0</v>
      </c>
      <c r="N84" s="29">
        <v>0</v>
      </c>
      <c r="O84" s="30">
        <f t="shared" si="72"/>
        <v>0</v>
      </c>
      <c r="P84" s="30"/>
      <c r="Q84" s="30">
        <f t="shared" si="73"/>
        <v>0</v>
      </c>
      <c r="R84" s="30">
        <v>0</v>
      </c>
      <c r="S84" s="30">
        <f t="shared" si="118"/>
        <v>0</v>
      </c>
      <c r="T84" s="30"/>
      <c r="U84" s="30">
        <f t="shared" si="110"/>
        <v>0</v>
      </c>
      <c r="V84" s="29">
        <f>20.2</f>
        <v>20.2</v>
      </c>
      <c r="W84" s="30">
        <f t="shared" si="75"/>
        <v>0</v>
      </c>
      <c r="X84" s="30"/>
      <c r="Y84" s="30">
        <f t="shared" si="111"/>
        <v>0</v>
      </c>
      <c r="Z84" s="31">
        <v>0</v>
      </c>
      <c r="AA84" s="30">
        <f t="shared" si="77"/>
        <v>0</v>
      </c>
      <c r="AB84" s="30"/>
      <c r="AC84" s="30">
        <f t="shared" si="112"/>
        <v>0</v>
      </c>
      <c r="AD84" s="31">
        <v>0</v>
      </c>
      <c r="AE84" s="30">
        <f t="shared" si="113"/>
        <v>0</v>
      </c>
      <c r="AF84" s="30"/>
      <c r="AG84" s="30">
        <f t="shared" si="114"/>
        <v>0</v>
      </c>
      <c r="AH84" s="30">
        <f t="shared" si="99"/>
        <v>0</v>
      </c>
      <c r="AI84" s="30">
        <f t="shared" si="29"/>
        <v>0</v>
      </c>
      <c r="AJ84" s="31">
        <f>477.2+26.1</f>
        <v>503.3</v>
      </c>
      <c r="AK84" s="30" t="s">
        <v>314</v>
      </c>
      <c r="AL84" s="32">
        <v>0</v>
      </c>
      <c r="AM84" s="32">
        <f t="shared" si="104"/>
        <v>0</v>
      </c>
      <c r="AN84" s="32"/>
      <c r="AO84" s="32">
        <f t="shared" si="82"/>
        <v>0</v>
      </c>
      <c r="AP84" s="32">
        <f t="shared" si="81"/>
        <v>0</v>
      </c>
      <c r="AQ84" s="33">
        <f t="shared" si="83"/>
        <v>0</v>
      </c>
      <c r="AR84" s="82">
        <f t="shared" si="83"/>
        <v>0</v>
      </c>
      <c r="AS84" s="9"/>
      <c r="AT84" s="9"/>
      <c r="AU84" s="9"/>
      <c r="AV84" s="9"/>
      <c r="AW84" s="65"/>
      <c r="AX84" s="65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</row>
    <row r="85" spans="1:85" s="4" customFormat="1" ht="75" outlineLevel="1" x14ac:dyDescent="0.25">
      <c r="A85" s="25">
        <f t="shared" si="117"/>
        <v>65</v>
      </c>
      <c r="B85" s="26" t="s">
        <v>20</v>
      </c>
      <c r="C85" s="27" t="s">
        <v>104</v>
      </c>
      <c r="D85" s="28" t="s">
        <v>18</v>
      </c>
      <c r="E85" s="29">
        <f t="shared" si="84"/>
        <v>58</v>
      </c>
      <c r="F85" s="29">
        <v>0</v>
      </c>
      <c r="G85" s="30">
        <f t="shared" si="67"/>
        <v>0</v>
      </c>
      <c r="H85" s="30"/>
      <c r="I85" s="30">
        <f t="shared" si="69"/>
        <v>0</v>
      </c>
      <c r="J85" s="31">
        <v>58</v>
      </c>
      <c r="K85" s="30">
        <f t="shared" si="106"/>
        <v>0</v>
      </c>
      <c r="L85" s="30"/>
      <c r="M85" s="30">
        <f t="shared" si="107"/>
        <v>0</v>
      </c>
      <c r="N85" s="29">
        <v>0</v>
      </c>
      <c r="O85" s="30">
        <f t="shared" si="72"/>
        <v>0</v>
      </c>
      <c r="P85" s="30"/>
      <c r="Q85" s="30">
        <f t="shared" si="73"/>
        <v>0</v>
      </c>
      <c r="R85" s="30">
        <v>0</v>
      </c>
      <c r="S85" s="30">
        <f t="shared" si="118"/>
        <v>0</v>
      </c>
      <c r="T85" s="30"/>
      <c r="U85" s="30">
        <f t="shared" si="74"/>
        <v>0</v>
      </c>
      <c r="V85" s="29">
        <v>0</v>
      </c>
      <c r="W85" s="30">
        <f t="shared" si="75"/>
        <v>0</v>
      </c>
      <c r="X85" s="30"/>
      <c r="Y85" s="30">
        <f t="shared" si="76"/>
        <v>0</v>
      </c>
      <c r="Z85" s="31">
        <v>0</v>
      </c>
      <c r="AA85" s="30">
        <f t="shared" si="77"/>
        <v>0</v>
      </c>
      <c r="AB85" s="30"/>
      <c r="AC85" s="30">
        <f t="shared" si="112"/>
        <v>0</v>
      </c>
      <c r="AD85" s="31">
        <v>0</v>
      </c>
      <c r="AE85" s="30">
        <f t="shared" si="79"/>
        <v>0</v>
      </c>
      <c r="AF85" s="30"/>
      <c r="AG85" s="30">
        <f t="shared" si="80"/>
        <v>0</v>
      </c>
      <c r="AH85" s="30">
        <f t="shared" si="99"/>
        <v>0</v>
      </c>
      <c r="AI85" s="30">
        <f t="shared" si="29"/>
        <v>0</v>
      </c>
      <c r="AJ85" s="31">
        <f>10</f>
        <v>10</v>
      </c>
      <c r="AK85" s="30" t="s">
        <v>314</v>
      </c>
      <c r="AL85" s="32">
        <v>0</v>
      </c>
      <c r="AM85" s="32">
        <f t="shared" si="104"/>
        <v>0</v>
      </c>
      <c r="AN85" s="32"/>
      <c r="AO85" s="32">
        <f t="shared" si="82"/>
        <v>0</v>
      </c>
      <c r="AP85" s="32">
        <f t="shared" si="81"/>
        <v>0</v>
      </c>
      <c r="AQ85" s="33">
        <f t="shared" si="83"/>
        <v>0</v>
      </c>
      <c r="AR85" s="82">
        <f t="shared" si="83"/>
        <v>0</v>
      </c>
      <c r="AS85" s="9"/>
      <c r="AT85" s="9"/>
      <c r="AU85" s="9"/>
      <c r="AV85" s="9"/>
      <c r="AW85" s="65"/>
      <c r="AX85" s="65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</row>
    <row r="86" spans="1:85" s="4" customFormat="1" ht="75" outlineLevel="1" x14ac:dyDescent="0.25">
      <c r="A86" s="25">
        <f t="shared" si="117"/>
        <v>66</v>
      </c>
      <c r="B86" s="26" t="s">
        <v>20</v>
      </c>
      <c r="C86" s="27" t="s">
        <v>105</v>
      </c>
      <c r="D86" s="28" t="s">
        <v>18</v>
      </c>
      <c r="E86" s="29">
        <f t="shared" si="84"/>
        <v>9.5</v>
      </c>
      <c r="F86" s="29">
        <v>0</v>
      </c>
      <c r="G86" s="30">
        <f t="shared" si="67"/>
        <v>0</v>
      </c>
      <c r="H86" s="30"/>
      <c r="I86" s="30">
        <f t="shared" si="69"/>
        <v>0</v>
      </c>
      <c r="J86" s="31">
        <v>9.5</v>
      </c>
      <c r="K86" s="30">
        <f t="shared" si="70"/>
        <v>0</v>
      </c>
      <c r="L86" s="30"/>
      <c r="M86" s="30">
        <f t="shared" si="71"/>
        <v>0</v>
      </c>
      <c r="N86" s="29">
        <v>0</v>
      </c>
      <c r="O86" s="30">
        <f t="shared" si="72"/>
        <v>0</v>
      </c>
      <c r="P86" s="30"/>
      <c r="Q86" s="30">
        <f t="shared" si="73"/>
        <v>0</v>
      </c>
      <c r="R86" s="30">
        <v>0</v>
      </c>
      <c r="S86" s="30">
        <v>4.2</v>
      </c>
      <c r="T86" s="30"/>
      <c r="U86" s="30">
        <f t="shared" si="74"/>
        <v>0</v>
      </c>
      <c r="V86" s="29">
        <v>0</v>
      </c>
      <c r="W86" s="30">
        <f t="shared" si="75"/>
        <v>0</v>
      </c>
      <c r="X86" s="30"/>
      <c r="Y86" s="30">
        <f t="shared" si="76"/>
        <v>0</v>
      </c>
      <c r="Z86" s="31">
        <v>0</v>
      </c>
      <c r="AA86" s="30">
        <f t="shared" si="77"/>
        <v>0</v>
      </c>
      <c r="AB86" s="30"/>
      <c r="AC86" s="30">
        <f t="shared" si="112"/>
        <v>0</v>
      </c>
      <c r="AD86" s="31">
        <v>0</v>
      </c>
      <c r="AE86" s="30">
        <f t="shared" si="79"/>
        <v>0</v>
      </c>
      <c r="AF86" s="30"/>
      <c r="AG86" s="30">
        <f t="shared" si="80"/>
        <v>0</v>
      </c>
      <c r="AH86" s="30">
        <f t="shared" si="99"/>
        <v>0</v>
      </c>
      <c r="AI86" s="30">
        <f t="shared" si="29"/>
        <v>0</v>
      </c>
      <c r="AJ86" s="31">
        <v>0</v>
      </c>
      <c r="AK86" s="30" t="s">
        <v>314</v>
      </c>
      <c r="AL86" s="32">
        <v>0</v>
      </c>
      <c r="AM86" s="32">
        <f t="shared" si="104"/>
        <v>0</v>
      </c>
      <c r="AN86" s="32"/>
      <c r="AO86" s="32">
        <f t="shared" si="82"/>
        <v>0</v>
      </c>
      <c r="AP86" s="32">
        <f t="shared" si="81"/>
        <v>0</v>
      </c>
      <c r="AQ86" s="33">
        <f t="shared" si="83"/>
        <v>0</v>
      </c>
      <c r="AR86" s="82">
        <f t="shared" si="83"/>
        <v>0</v>
      </c>
      <c r="AS86" s="9"/>
      <c r="AT86" s="9"/>
      <c r="AU86" s="9"/>
      <c r="AV86" s="9"/>
      <c r="AW86" s="65"/>
      <c r="AX86" s="65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</row>
    <row r="87" spans="1:85" s="4" customFormat="1" ht="75" outlineLevel="1" x14ac:dyDescent="0.25">
      <c r="A87" s="25">
        <f t="shared" si="117"/>
        <v>67</v>
      </c>
      <c r="B87" s="26" t="s">
        <v>20</v>
      </c>
      <c r="C87" s="27" t="s">
        <v>106</v>
      </c>
      <c r="D87" s="28" t="s">
        <v>18</v>
      </c>
      <c r="E87" s="29">
        <f t="shared" si="84"/>
        <v>8.6</v>
      </c>
      <c r="F87" s="29">
        <v>0</v>
      </c>
      <c r="G87" s="30">
        <f t="shared" si="67"/>
        <v>0</v>
      </c>
      <c r="H87" s="30"/>
      <c r="I87" s="30">
        <f t="shared" si="69"/>
        <v>0</v>
      </c>
      <c r="J87" s="31">
        <v>8.6</v>
      </c>
      <c r="K87" s="30">
        <f t="shared" si="70"/>
        <v>0</v>
      </c>
      <c r="L87" s="30"/>
      <c r="M87" s="30">
        <f t="shared" si="71"/>
        <v>0</v>
      </c>
      <c r="N87" s="29">
        <v>0</v>
      </c>
      <c r="O87" s="30">
        <f t="shared" si="72"/>
        <v>0</v>
      </c>
      <c r="P87" s="30"/>
      <c r="Q87" s="30">
        <f t="shared" si="73"/>
        <v>0</v>
      </c>
      <c r="R87" s="30">
        <v>0</v>
      </c>
      <c r="S87" s="30">
        <f t="shared" ref="S87:S89" si="119">T87/1.18</f>
        <v>0</v>
      </c>
      <c r="T87" s="30"/>
      <c r="U87" s="30">
        <f t="shared" si="74"/>
        <v>0</v>
      </c>
      <c r="V87" s="29">
        <v>0</v>
      </c>
      <c r="W87" s="30">
        <f t="shared" si="75"/>
        <v>0</v>
      </c>
      <c r="X87" s="30"/>
      <c r="Y87" s="30">
        <f t="shared" si="76"/>
        <v>0</v>
      </c>
      <c r="Z87" s="31">
        <v>0</v>
      </c>
      <c r="AA87" s="30">
        <f t="shared" si="77"/>
        <v>0</v>
      </c>
      <c r="AB87" s="30"/>
      <c r="AC87" s="30">
        <f t="shared" si="112"/>
        <v>0</v>
      </c>
      <c r="AD87" s="31">
        <v>0</v>
      </c>
      <c r="AE87" s="30">
        <f t="shared" si="79"/>
        <v>0</v>
      </c>
      <c r="AF87" s="30"/>
      <c r="AG87" s="30">
        <f t="shared" si="80"/>
        <v>0</v>
      </c>
      <c r="AH87" s="30">
        <f t="shared" si="99"/>
        <v>0</v>
      </c>
      <c r="AI87" s="30">
        <f t="shared" si="29"/>
        <v>0</v>
      </c>
      <c r="AJ87" s="31">
        <v>2</v>
      </c>
      <c r="AK87" s="30" t="s">
        <v>314</v>
      </c>
      <c r="AL87" s="32">
        <v>0</v>
      </c>
      <c r="AM87" s="32">
        <f t="shared" si="104"/>
        <v>0</v>
      </c>
      <c r="AN87" s="32"/>
      <c r="AO87" s="32">
        <f t="shared" si="82"/>
        <v>0</v>
      </c>
      <c r="AP87" s="32">
        <f t="shared" si="81"/>
        <v>0</v>
      </c>
      <c r="AQ87" s="33">
        <f t="shared" si="83"/>
        <v>0</v>
      </c>
      <c r="AR87" s="82">
        <f t="shared" si="83"/>
        <v>0</v>
      </c>
      <c r="AS87" s="9"/>
      <c r="AT87" s="9"/>
      <c r="AU87" s="9"/>
      <c r="AV87" s="9"/>
      <c r="AW87" s="65"/>
      <c r="AX87" s="65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</row>
    <row r="88" spans="1:85" s="4" customFormat="1" ht="75" outlineLevel="1" x14ac:dyDescent="0.25">
      <c r="A88" s="25">
        <f t="shared" si="117"/>
        <v>68</v>
      </c>
      <c r="B88" s="26" t="s">
        <v>20</v>
      </c>
      <c r="C88" s="27" t="s">
        <v>107</v>
      </c>
      <c r="D88" s="28" t="s">
        <v>18</v>
      </c>
      <c r="E88" s="29">
        <f t="shared" si="84"/>
        <v>33.6</v>
      </c>
      <c r="F88" s="29">
        <v>0</v>
      </c>
      <c r="G88" s="30">
        <f t="shared" si="67"/>
        <v>0</v>
      </c>
      <c r="H88" s="30"/>
      <c r="I88" s="30">
        <f t="shared" si="69"/>
        <v>0</v>
      </c>
      <c r="J88" s="31">
        <v>33.6</v>
      </c>
      <c r="K88" s="30">
        <f t="shared" si="70"/>
        <v>0</v>
      </c>
      <c r="L88" s="30"/>
      <c r="M88" s="30">
        <f t="shared" si="71"/>
        <v>0</v>
      </c>
      <c r="N88" s="29">
        <v>0</v>
      </c>
      <c r="O88" s="30">
        <f t="shared" si="72"/>
        <v>0</v>
      </c>
      <c r="P88" s="30"/>
      <c r="Q88" s="30">
        <f t="shared" si="73"/>
        <v>0</v>
      </c>
      <c r="R88" s="30">
        <v>0</v>
      </c>
      <c r="S88" s="30">
        <f t="shared" si="119"/>
        <v>0</v>
      </c>
      <c r="T88" s="30"/>
      <c r="U88" s="30">
        <f t="shared" si="74"/>
        <v>0</v>
      </c>
      <c r="V88" s="29">
        <v>0</v>
      </c>
      <c r="W88" s="30">
        <f t="shared" si="75"/>
        <v>0</v>
      </c>
      <c r="X88" s="30"/>
      <c r="Y88" s="30">
        <f t="shared" si="76"/>
        <v>0</v>
      </c>
      <c r="Z88" s="31">
        <v>0</v>
      </c>
      <c r="AA88" s="30">
        <f t="shared" si="77"/>
        <v>0</v>
      </c>
      <c r="AB88" s="30"/>
      <c r="AC88" s="30">
        <f t="shared" si="112"/>
        <v>0</v>
      </c>
      <c r="AD88" s="31">
        <v>0</v>
      </c>
      <c r="AE88" s="30">
        <f t="shared" si="79"/>
        <v>0</v>
      </c>
      <c r="AF88" s="30"/>
      <c r="AG88" s="30">
        <f t="shared" si="80"/>
        <v>0</v>
      </c>
      <c r="AH88" s="30">
        <f t="shared" si="99"/>
        <v>0</v>
      </c>
      <c r="AI88" s="30">
        <f t="shared" si="29"/>
        <v>0</v>
      </c>
      <c r="AJ88" s="31">
        <v>0</v>
      </c>
      <c r="AK88" s="30" t="s">
        <v>314</v>
      </c>
      <c r="AL88" s="32">
        <v>0</v>
      </c>
      <c r="AM88" s="32">
        <f t="shared" si="104"/>
        <v>0</v>
      </c>
      <c r="AN88" s="32"/>
      <c r="AO88" s="32">
        <f t="shared" si="82"/>
        <v>0</v>
      </c>
      <c r="AP88" s="32">
        <f t="shared" si="81"/>
        <v>0</v>
      </c>
      <c r="AQ88" s="33">
        <f t="shared" si="83"/>
        <v>0</v>
      </c>
      <c r="AR88" s="82">
        <f t="shared" si="83"/>
        <v>0</v>
      </c>
      <c r="AS88" s="9"/>
      <c r="AT88" s="9"/>
      <c r="AU88" s="9"/>
      <c r="AV88" s="9"/>
      <c r="AW88" s="65"/>
      <c r="AX88" s="65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</row>
    <row r="89" spans="1:85" s="4" customFormat="1" ht="75" outlineLevel="1" x14ac:dyDescent="0.25">
      <c r="A89" s="25">
        <f t="shared" si="117"/>
        <v>69</v>
      </c>
      <c r="B89" s="26" t="s">
        <v>256</v>
      </c>
      <c r="C89" s="27" t="s">
        <v>108</v>
      </c>
      <c r="D89" s="28" t="s">
        <v>18</v>
      </c>
      <c r="E89" s="29">
        <f t="shared" si="84"/>
        <v>15</v>
      </c>
      <c r="F89" s="29">
        <v>0</v>
      </c>
      <c r="G89" s="30">
        <f t="shared" si="67"/>
        <v>0</v>
      </c>
      <c r="H89" s="30"/>
      <c r="I89" s="30">
        <f t="shared" si="69"/>
        <v>0</v>
      </c>
      <c r="J89" s="31">
        <v>15</v>
      </c>
      <c r="K89" s="30">
        <f t="shared" si="70"/>
        <v>0</v>
      </c>
      <c r="L89" s="30"/>
      <c r="M89" s="30">
        <f t="shared" si="71"/>
        <v>0</v>
      </c>
      <c r="N89" s="29">
        <v>0</v>
      </c>
      <c r="O89" s="30">
        <f t="shared" si="72"/>
        <v>0</v>
      </c>
      <c r="P89" s="30"/>
      <c r="Q89" s="30">
        <f t="shared" si="73"/>
        <v>0</v>
      </c>
      <c r="R89" s="30">
        <v>0</v>
      </c>
      <c r="S89" s="30">
        <f t="shared" si="119"/>
        <v>0</v>
      </c>
      <c r="T89" s="30"/>
      <c r="U89" s="30">
        <f t="shared" si="74"/>
        <v>0</v>
      </c>
      <c r="V89" s="29">
        <v>0</v>
      </c>
      <c r="W89" s="30">
        <f t="shared" si="75"/>
        <v>0</v>
      </c>
      <c r="X89" s="30"/>
      <c r="Y89" s="30">
        <f t="shared" si="76"/>
        <v>0</v>
      </c>
      <c r="Z89" s="31">
        <v>0</v>
      </c>
      <c r="AA89" s="30">
        <f t="shared" si="77"/>
        <v>0</v>
      </c>
      <c r="AB89" s="30"/>
      <c r="AC89" s="30">
        <f t="shared" si="112"/>
        <v>0</v>
      </c>
      <c r="AD89" s="31">
        <v>0</v>
      </c>
      <c r="AE89" s="30">
        <f t="shared" si="79"/>
        <v>0</v>
      </c>
      <c r="AF89" s="30"/>
      <c r="AG89" s="30">
        <f t="shared" si="80"/>
        <v>0</v>
      </c>
      <c r="AH89" s="30">
        <f t="shared" si="99"/>
        <v>0</v>
      </c>
      <c r="AI89" s="30">
        <f t="shared" si="29"/>
        <v>0</v>
      </c>
      <c r="AJ89" s="31">
        <v>0</v>
      </c>
      <c r="AK89" s="30" t="s">
        <v>314</v>
      </c>
      <c r="AL89" s="32">
        <v>0</v>
      </c>
      <c r="AM89" s="32">
        <f t="shared" si="104"/>
        <v>0</v>
      </c>
      <c r="AN89" s="32"/>
      <c r="AO89" s="32">
        <f t="shared" si="82"/>
        <v>0</v>
      </c>
      <c r="AP89" s="32">
        <f t="shared" si="81"/>
        <v>0</v>
      </c>
      <c r="AQ89" s="33">
        <f t="shared" si="83"/>
        <v>0</v>
      </c>
      <c r="AR89" s="82">
        <f t="shared" si="83"/>
        <v>0</v>
      </c>
      <c r="AS89" s="9"/>
      <c r="AT89" s="9"/>
      <c r="AU89" s="9"/>
      <c r="AV89" s="9"/>
      <c r="AW89" s="65"/>
      <c r="AX89" s="65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</row>
    <row r="90" spans="1:85" s="4" customFormat="1" ht="93.75" outlineLevel="1" x14ac:dyDescent="0.25">
      <c r="A90" s="25">
        <f t="shared" si="117"/>
        <v>70</v>
      </c>
      <c r="B90" s="26" t="s">
        <v>256</v>
      </c>
      <c r="C90" s="27" t="s">
        <v>109</v>
      </c>
      <c r="D90" s="28" t="s">
        <v>18</v>
      </c>
      <c r="E90" s="29">
        <f t="shared" si="84"/>
        <v>14.7</v>
      </c>
      <c r="F90" s="29">
        <v>0</v>
      </c>
      <c r="G90" s="30">
        <f t="shared" si="67"/>
        <v>0</v>
      </c>
      <c r="H90" s="30"/>
      <c r="I90" s="30">
        <f t="shared" si="69"/>
        <v>0</v>
      </c>
      <c r="J90" s="31">
        <v>14.7</v>
      </c>
      <c r="K90" s="30">
        <f t="shared" si="70"/>
        <v>0</v>
      </c>
      <c r="L90" s="30"/>
      <c r="M90" s="30">
        <f t="shared" si="71"/>
        <v>0</v>
      </c>
      <c r="N90" s="29">
        <v>0</v>
      </c>
      <c r="O90" s="30">
        <f t="shared" si="72"/>
        <v>0</v>
      </c>
      <c r="P90" s="30"/>
      <c r="Q90" s="30">
        <f t="shared" si="73"/>
        <v>0</v>
      </c>
      <c r="R90" s="30">
        <v>0</v>
      </c>
      <c r="S90" s="30">
        <v>4.2</v>
      </c>
      <c r="T90" s="30"/>
      <c r="U90" s="30">
        <f t="shared" si="74"/>
        <v>0</v>
      </c>
      <c r="V90" s="29">
        <v>0</v>
      </c>
      <c r="W90" s="30">
        <f t="shared" si="75"/>
        <v>0</v>
      </c>
      <c r="X90" s="30"/>
      <c r="Y90" s="30">
        <f t="shared" si="76"/>
        <v>0</v>
      </c>
      <c r="Z90" s="31">
        <v>0</v>
      </c>
      <c r="AA90" s="30">
        <f t="shared" si="77"/>
        <v>0</v>
      </c>
      <c r="AB90" s="30"/>
      <c r="AC90" s="30">
        <f t="shared" si="112"/>
        <v>0</v>
      </c>
      <c r="AD90" s="31">
        <v>0</v>
      </c>
      <c r="AE90" s="30">
        <f t="shared" si="79"/>
        <v>0</v>
      </c>
      <c r="AF90" s="30"/>
      <c r="AG90" s="30">
        <f t="shared" si="80"/>
        <v>0</v>
      </c>
      <c r="AH90" s="30">
        <f t="shared" si="99"/>
        <v>0</v>
      </c>
      <c r="AI90" s="30">
        <f t="shared" si="29"/>
        <v>0</v>
      </c>
      <c r="AJ90" s="31">
        <v>0</v>
      </c>
      <c r="AK90" s="30" t="s">
        <v>314</v>
      </c>
      <c r="AL90" s="32">
        <v>0</v>
      </c>
      <c r="AM90" s="32">
        <f t="shared" si="104"/>
        <v>0</v>
      </c>
      <c r="AN90" s="32"/>
      <c r="AO90" s="32">
        <f t="shared" si="82"/>
        <v>0</v>
      </c>
      <c r="AP90" s="32">
        <f t="shared" si="81"/>
        <v>0</v>
      </c>
      <c r="AQ90" s="33">
        <f t="shared" si="83"/>
        <v>0</v>
      </c>
      <c r="AR90" s="82">
        <f t="shared" si="83"/>
        <v>0</v>
      </c>
      <c r="AS90" s="9"/>
      <c r="AT90" s="9"/>
      <c r="AU90" s="9"/>
      <c r="AV90" s="9"/>
      <c r="AW90" s="65"/>
      <c r="AX90" s="65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  <c r="BZ90" s="62"/>
      <c r="CA90" s="62"/>
      <c r="CB90" s="62"/>
      <c r="CC90" s="62"/>
      <c r="CD90" s="62"/>
      <c r="CE90" s="62"/>
      <c r="CF90" s="62"/>
      <c r="CG90" s="62"/>
    </row>
    <row r="91" spans="1:85" s="4" customFormat="1" ht="75" outlineLevel="1" x14ac:dyDescent="0.25">
      <c r="A91" s="25">
        <f t="shared" si="117"/>
        <v>71</v>
      </c>
      <c r="B91" s="26" t="s">
        <v>256</v>
      </c>
      <c r="C91" s="27" t="s">
        <v>110</v>
      </c>
      <c r="D91" s="28" t="s">
        <v>18</v>
      </c>
      <c r="E91" s="29">
        <f t="shared" si="84"/>
        <v>15.8</v>
      </c>
      <c r="F91" s="29">
        <v>0</v>
      </c>
      <c r="G91" s="30">
        <f t="shared" si="67"/>
        <v>0</v>
      </c>
      <c r="H91" s="30"/>
      <c r="I91" s="30">
        <f t="shared" si="69"/>
        <v>0</v>
      </c>
      <c r="J91" s="31">
        <v>15.8</v>
      </c>
      <c r="K91" s="30">
        <f t="shared" si="70"/>
        <v>0</v>
      </c>
      <c r="L91" s="30"/>
      <c r="M91" s="30">
        <f t="shared" si="71"/>
        <v>0</v>
      </c>
      <c r="N91" s="29">
        <v>0</v>
      </c>
      <c r="O91" s="30">
        <f t="shared" si="72"/>
        <v>0</v>
      </c>
      <c r="P91" s="30"/>
      <c r="Q91" s="30">
        <f t="shared" si="73"/>
        <v>0</v>
      </c>
      <c r="R91" s="30">
        <v>0</v>
      </c>
      <c r="S91" s="30">
        <f t="shared" ref="S91:S93" si="120">T91/1.18</f>
        <v>0</v>
      </c>
      <c r="T91" s="30"/>
      <c r="U91" s="30">
        <f t="shared" si="74"/>
        <v>0</v>
      </c>
      <c r="V91" s="29">
        <v>0</v>
      </c>
      <c r="W91" s="30">
        <f t="shared" si="75"/>
        <v>0</v>
      </c>
      <c r="X91" s="30"/>
      <c r="Y91" s="30">
        <f t="shared" si="76"/>
        <v>0</v>
      </c>
      <c r="Z91" s="31">
        <v>0</v>
      </c>
      <c r="AA91" s="30">
        <f t="shared" si="77"/>
        <v>0</v>
      </c>
      <c r="AB91" s="30"/>
      <c r="AC91" s="30">
        <f t="shared" si="112"/>
        <v>0</v>
      </c>
      <c r="AD91" s="31">
        <v>0</v>
      </c>
      <c r="AE91" s="30">
        <f t="shared" si="79"/>
        <v>0</v>
      </c>
      <c r="AF91" s="30"/>
      <c r="AG91" s="30">
        <f t="shared" si="80"/>
        <v>0</v>
      </c>
      <c r="AH91" s="30">
        <f t="shared" si="99"/>
        <v>0</v>
      </c>
      <c r="AI91" s="30">
        <f t="shared" si="29"/>
        <v>0</v>
      </c>
      <c r="AJ91" s="31">
        <v>0</v>
      </c>
      <c r="AK91" s="30" t="s">
        <v>314</v>
      </c>
      <c r="AL91" s="32">
        <v>0</v>
      </c>
      <c r="AM91" s="32">
        <f t="shared" si="104"/>
        <v>0</v>
      </c>
      <c r="AN91" s="32"/>
      <c r="AO91" s="32">
        <f t="shared" si="82"/>
        <v>0</v>
      </c>
      <c r="AP91" s="32">
        <f t="shared" si="81"/>
        <v>0</v>
      </c>
      <c r="AQ91" s="33">
        <f t="shared" si="83"/>
        <v>0</v>
      </c>
      <c r="AR91" s="82">
        <f t="shared" si="83"/>
        <v>0</v>
      </c>
      <c r="AS91" s="9"/>
      <c r="AT91" s="9"/>
      <c r="AU91" s="9"/>
      <c r="AV91" s="9"/>
      <c r="AW91" s="65"/>
      <c r="AX91" s="65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  <c r="BZ91" s="62"/>
      <c r="CA91" s="62"/>
      <c r="CB91" s="62"/>
      <c r="CC91" s="62"/>
      <c r="CD91" s="62"/>
      <c r="CE91" s="62"/>
      <c r="CF91" s="62"/>
      <c r="CG91" s="62"/>
    </row>
    <row r="92" spans="1:85" s="4" customFormat="1" ht="75" outlineLevel="1" x14ac:dyDescent="0.25">
      <c r="A92" s="25">
        <f t="shared" si="117"/>
        <v>72</v>
      </c>
      <c r="B92" s="26" t="s">
        <v>256</v>
      </c>
      <c r="C92" s="27" t="s">
        <v>111</v>
      </c>
      <c r="D92" s="28" t="s">
        <v>18</v>
      </c>
      <c r="E92" s="29">
        <f t="shared" si="84"/>
        <v>6.9</v>
      </c>
      <c r="F92" s="29">
        <v>0</v>
      </c>
      <c r="G92" s="30">
        <f t="shared" si="67"/>
        <v>0</v>
      </c>
      <c r="H92" s="30"/>
      <c r="I92" s="30">
        <f t="shared" si="69"/>
        <v>0</v>
      </c>
      <c r="J92" s="31">
        <v>6.9</v>
      </c>
      <c r="K92" s="30">
        <f t="shared" si="70"/>
        <v>0</v>
      </c>
      <c r="L92" s="30"/>
      <c r="M92" s="30">
        <f t="shared" si="71"/>
        <v>0</v>
      </c>
      <c r="N92" s="29">
        <v>0</v>
      </c>
      <c r="O92" s="30">
        <f t="shared" si="72"/>
        <v>0</v>
      </c>
      <c r="P92" s="30"/>
      <c r="Q92" s="30">
        <f t="shared" si="73"/>
        <v>0</v>
      </c>
      <c r="R92" s="30">
        <v>0</v>
      </c>
      <c r="S92" s="30">
        <f t="shared" si="120"/>
        <v>0</v>
      </c>
      <c r="T92" s="30"/>
      <c r="U92" s="30">
        <f t="shared" si="74"/>
        <v>0</v>
      </c>
      <c r="V92" s="29">
        <v>0</v>
      </c>
      <c r="W92" s="30">
        <f t="shared" si="75"/>
        <v>0</v>
      </c>
      <c r="X92" s="30"/>
      <c r="Y92" s="30">
        <f t="shared" si="76"/>
        <v>0</v>
      </c>
      <c r="Z92" s="31">
        <v>0</v>
      </c>
      <c r="AA92" s="30">
        <f t="shared" si="77"/>
        <v>0</v>
      </c>
      <c r="AB92" s="30"/>
      <c r="AC92" s="30">
        <f t="shared" si="112"/>
        <v>0</v>
      </c>
      <c r="AD92" s="31">
        <v>0</v>
      </c>
      <c r="AE92" s="30">
        <f t="shared" si="79"/>
        <v>0</v>
      </c>
      <c r="AF92" s="30"/>
      <c r="AG92" s="30">
        <f t="shared" si="80"/>
        <v>0</v>
      </c>
      <c r="AH92" s="30">
        <f t="shared" si="99"/>
        <v>0</v>
      </c>
      <c r="AI92" s="30">
        <f t="shared" si="29"/>
        <v>0</v>
      </c>
      <c r="AJ92" s="31">
        <v>0</v>
      </c>
      <c r="AK92" s="30" t="s">
        <v>314</v>
      </c>
      <c r="AL92" s="32">
        <v>0</v>
      </c>
      <c r="AM92" s="32">
        <f t="shared" si="104"/>
        <v>0</v>
      </c>
      <c r="AN92" s="32"/>
      <c r="AO92" s="32">
        <f t="shared" si="82"/>
        <v>0</v>
      </c>
      <c r="AP92" s="32">
        <f t="shared" si="81"/>
        <v>0</v>
      </c>
      <c r="AQ92" s="33">
        <f t="shared" si="83"/>
        <v>0</v>
      </c>
      <c r="AR92" s="82">
        <f t="shared" si="83"/>
        <v>0</v>
      </c>
      <c r="AS92" s="9"/>
      <c r="AT92" s="9"/>
      <c r="AU92" s="9"/>
      <c r="AV92" s="9"/>
      <c r="AW92" s="65"/>
      <c r="AX92" s="65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</row>
    <row r="93" spans="1:85" s="4" customFormat="1" ht="75" outlineLevel="1" x14ac:dyDescent="0.25">
      <c r="A93" s="25">
        <f t="shared" si="117"/>
        <v>73</v>
      </c>
      <c r="B93" s="26" t="s">
        <v>256</v>
      </c>
      <c r="C93" s="27" t="s">
        <v>227</v>
      </c>
      <c r="D93" s="28" t="s">
        <v>18</v>
      </c>
      <c r="E93" s="29">
        <f t="shared" si="84"/>
        <v>63</v>
      </c>
      <c r="F93" s="29">
        <v>0</v>
      </c>
      <c r="G93" s="30">
        <f t="shared" si="67"/>
        <v>0</v>
      </c>
      <c r="H93" s="30"/>
      <c r="I93" s="30">
        <f t="shared" si="69"/>
        <v>0</v>
      </c>
      <c r="J93" s="31">
        <v>63</v>
      </c>
      <c r="K93" s="30">
        <f t="shared" si="70"/>
        <v>0</v>
      </c>
      <c r="L93" s="30"/>
      <c r="M93" s="30">
        <f t="shared" si="71"/>
        <v>0</v>
      </c>
      <c r="N93" s="29">
        <v>0</v>
      </c>
      <c r="O93" s="30">
        <f t="shared" si="72"/>
        <v>0</v>
      </c>
      <c r="P93" s="30"/>
      <c r="Q93" s="30">
        <f t="shared" si="73"/>
        <v>0</v>
      </c>
      <c r="R93" s="30">
        <v>0</v>
      </c>
      <c r="S93" s="30">
        <f t="shared" si="120"/>
        <v>0</v>
      </c>
      <c r="T93" s="30"/>
      <c r="U93" s="30">
        <f t="shared" si="74"/>
        <v>0</v>
      </c>
      <c r="V93" s="29">
        <v>0</v>
      </c>
      <c r="W93" s="30">
        <f t="shared" si="75"/>
        <v>0</v>
      </c>
      <c r="X93" s="30"/>
      <c r="Y93" s="30">
        <f t="shared" si="76"/>
        <v>0</v>
      </c>
      <c r="Z93" s="31">
        <v>0</v>
      </c>
      <c r="AA93" s="30">
        <f t="shared" si="77"/>
        <v>0</v>
      </c>
      <c r="AB93" s="30"/>
      <c r="AC93" s="30">
        <f t="shared" si="112"/>
        <v>0</v>
      </c>
      <c r="AD93" s="31">
        <v>0</v>
      </c>
      <c r="AE93" s="30">
        <f t="shared" si="79"/>
        <v>0</v>
      </c>
      <c r="AF93" s="30"/>
      <c r="AG93" s="30">
        <f t="shared" si="80"/>
        <v>0</v>
      </c>
      <c r="AH93" s="30">
        <f t="shared" si="99"/>
        <v>0</v>
      </c>
      <c r="AI93" s="30">
        <f t="shared" si="29"/>
        <v>0</v>
      </c>
      <c r="AJ93" s="31">
        <v>10</v>
      </c>
      <c r="AK93" s="30" t="s">
        <v>314</v>
      </c>
      <c r="AL93" s="32">
        <v>0</v>
      </c>
      <c r="AM93" s="32">
        <f t="shared" si="104"/>
        <v>0</v>
      </c>
      <c r="AN93" s="32"/>
      <c r="AO93" s="32">
        <f t="shared" si="82"/>
        <v>0</v>
      </c>
      <c r="AP93" s="32">
        <f t="shared" si="81"/>
        <v>0</v>
      </c>
      <c r="AQ93" s="33">
        <f t="shared" si="83"/>
        <v>0</v>
      </c>
      <c r="AR93" s="82">
        <f t="shared" si="83"/>
        <v>0</v>
      </c>
      <c r="AS93" s="9"/>
      <c r="AT93" s="9"/>
      <c r="AU93" s="9"/>
      <c r="AV93" s="9"/>
      <c r="AW93" s="65"/>
      <c r="AX93" s="65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</row>
    <row r="94" spans="1:85" s="4" customFormat="1" ht="75" outlineLevel="1" x14ac:dyDescent="0.25">
      <c r="A94" s="25">
        <f t="shared" si="117"/>
        <v>74</v>
      </c>
      <c r="B94" s="26" t="s">
        <v>256</v>
      </c>
      <c r="C94" s="27" t="s">
        <v>112</v>
      </c>
      <c r="D94" s="28" t="s">
        <v>18</v>
      </c>
      <c r="E94" s="29">
        <f t="shared" si="84"/>
        <v>4.3</v>
      </c>
      <c r="F94" s="29">
        <v>0</v>
      </c>
      <c r="G94" s="30">
        <f t="shared" si="67"/>
        <v>0</v>
      </c>
      <c r="H94" s="30"/>
      <c r="I94" s="30">
        <f t="shared" si="69"/>
        <v>0</v>
      </c>
      <c r="J94" s="31">
        <v>4.3</v>
      </c>
      <c r="K94" s="30">
        <f t="shared" si="70"/>
        <v>0</v>
      </c>
      <c r="L94" s="30"/>
      <c r="M94" s="30">
        <f t="shared" si="71"/>
        <v>0</v>
      </c>
      <c r="N94" s="29">
        <v>0</v>
      </c>
      <c r="O94" s="30">
        <f t="shared" si="72"/>
        <v>0</v>
      </c>
      <c r="P94" s="30"/>
      <c r="Q94" s="30">
        <f t="shared" si="73"/>
        <v>0</v>
      </c>
      <c r="R94" s="30">
        <v>0</v>
      </c>
      <c r="S94" s="30">
        <v>4.2</v>
      </c>
      <c r="T94" s="30"/>
      <c r="U94" s="30">
        <f t="shared" si="74"/>
        <v>0</v>
      </c>
      <c r="V94" s="29">
        <v>0</v>
      </c>
      <c r="W94" s="30">
        <f t="shared" si="75"/>
        <v>0</v>
      </c>
      <c r="X94" s="30"/>
      <c r="Y94" s="30">
        <f t="shared" si="76"/>
        <v>0</v>
      </c>
      <c r="Z94" s="31">
        <v>0</v>
      </c>
      <c r="AA94" s="30">
        <f t="shared" si="77"/>
        <v>0</v>
      </c>
      <c r="AB94" s="30"/>
      <c r="AC94" s="30">
        <f t="shared" si="112"/>
        <v>0</v>
      </c>
      <c r="AD94" s="31">
        <v>0</v>
      </c>
      <c r="AE94" s="30">
        <f t="shared" si="79"/>
        <v>0</v>
      </c>
      <c r="AF94" s="30"/>
      <c r="AG94" s="30">
        <f t="shared" si="80"/>
        <v>0</v>
      </c>
      <c r="AH94" s="30">
        <f t="shared" si="99"/>
        <v>0</v>
      </c>
      <c r="AI94" s="30">
        <f t="shared" ref="AI94:AI157" si="121">I94+M94+Q94+U94+Y94+AC94+AG94</f>
        <v>0</v>
      </c>
      <c r="AJ94" s="31">
        <v>0</v>
      </c>
      <c r="AK94" s="30" t="s">
        <v>314</v>
      </c>
      <c r="AL94" s="32">
        <v>0</v>
      </c>
      <c r="AM94" s="32">
        <f t="shared" si="104"/>
        <v>0</v>
      </c>
      <c r="AN94" s="32"/>
      <c r="AO94" s="32">
        <f t="shared" si="82"/>
        <v>0</v>
      </c>
      <c r="AP94" s="32">
        <f t="shared" si="81"/>
        <v>0</v>
      </c>
      <c r="AQ94" s="33">
        <f t="shared" si="83"/>
        <v>0</v>
      </c>
      <c r="AR94" s="82">
        <f t="shared" si="83"/>
        <v>0</v>
      </c>
      <c r="AS94" s="9"/>
      <c r="AT94" s="9"/>
      <c r="AU94" s="9"/>
      <c r="AV94" s="9"/>
      <c r="AW94" s="65"/>
      <c r="AX94" s="65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  <c r="BZ94" s="62"/>
      <c r="CA94" s="62"/>
      <c r="CB94" s="62"/>
      <c r="CC94" s="62"/>
      <c r="CD94" s="62"/>
      <c r="CE94" s="62"/>
      <c r="CF94" s="62"/>
      <c r="CG94" s="62"/>
    </row>
    <row r="95" spans="1:85" s="4" customFormat="1" ht="75" outlineLevel="1" x14ac:dyDescent="0.25">
      <c r="A95" s="25">
        <f t="shared" si="117"/>
        <v>75</v>
      </c>
      <c r="B95" s="26" t="s">
        <v>256</v>
      </c>
      <c r="C95" s="27" t="s">
        <v>113</v>
      </c>
      <c r="D95" s="28" t="s">
        <v>18</v>
      </c>
      <c r="E95" s="29">
        <f t="shared" si="84"/>
        <v>20.399999999999999</v>
      </c>
      <c r="F95" s="29">
        <v>0</v>
      </c>
      <c r="G95" s="30">
        <f t="shared" si="67"/>
        <v>0</v>
      </c>
      <c r="H95" s="30"/>
      <c r="I95" s="30">
        <f t="shared" si="69"/>
        <v>0</v>
      </c>
      <c r="J95" s="31">
        <v>20.399999999999999</v>
      </c>
      <c r="K95" s="30">
        <f t="shared" si="70"/>
        <v>0</v>
      </c>
      <c r="L95" s="30"/>
      <c r="M95" s="30">
        <f t="shared" si="71"/>
        <v>0</v>
      </c>
      <c r="N95" s="29">
        <v>0</v>
      </c>
      <c r="O95" s="30">
        <f t="shared" si="72"/>
        <v>0</v>
      </c>
      <c r="P95" s="30"/>
      <c r="Q95" s="30">
        <f t="shared" si="73"/>
        <v>0</v>
      </c>
      <c r="R95" s="30">
        <v>0</v>
      </c>
      <c r="S95" s="30">
        <f t="shared" ref="S95:S97" si="122">T95/1.18</f>
        <v>0</v>
      </c>
      <c r="T95" s="30"/>
      <c r="U95" s="30">
        <f t="shared" si="74"/>
        <v>0</v>
      </c>
      <c r="V95" s="29">
        <v>0</v>
      </c>
      <c r="W95" s="30">
        <f t="shared" si="75"/>
        <v>0</v>
      </c>
      <c r="X95" s="30"/>
      <c r="Y95" s="30">
        <f t="shared" si="76"/>
        <v>0</v>
      </c>
      <c r="Z95" s="31">
        <v>0</v>
      </c>
      <c r="AA95" s="30">
        <f t="shared" si="77"/>
        <v>0</v>
      </c>
      <c r="AB95" s="30"/>
      <c r="AC95" s="30">
        <f t="shared" si="112"/>
        <v>0</v>
      </c>
      <c r="AD95" s="31">
        <v>0</v>
      </c>
      <c r="AE95" s="30">
        <f t="shared" si="79"/>
        <v>0</v>
      </c>
      <c r="AF95" s="30"/>
      <c r="AG95" s="30">
        <f t="shared" si="80"/>
        <v>0</v>
      </c>
      <c r="AH95" s="30">
        <f t="shared" si="99"/>
        <v>0</v>
      </c>
      <c r="AI95" s="30">
        <f t="shared" si="121"/>
        <v>0</v>
      </c>
      <c r="AJ95" s="31">
        <v>0</v>
      </c>
      <c r="AK95" s="30" t="s">
        <v>314</v>
      </c>
      <c r="AL95" s="32">
        <v>0</v>
      </c>
      <c r="AM95" s="32">
        <f t="shared" si="104"/>
        <v>0</v>
      </c>
      <c r="AN95" s="32"/>
      <c r="AO95" s="32">
        <f t="shared" si="82"/>
        <v>0</v>
      </c>
      <c r="AP95" s="32">
        <f t="shared" si="81"/>
        <v>0</v>
      </c>
      <c r="AQ95" s="33">
        <f t="shared" si="83"/>
        <v>0</v>
      </c>
      <c r="AR95" s="82">
        <f t="shared" si="83"/>
        <v>0</v>
      </c>
      <c r="AS95" s="9"/>
      <c r="AT95" s="9"/>
      <c r="AU95" s="9"/>
      <c r="AV95" s="9"/>
      <c r="AW95" s="65"/>
      <c r="AX95" s="65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</row>
    <row r="96" spans="1:85" s="4" customFormat="1" ht="75" outlineLevel="1" x14ac:dyDescent="0.25">
      <c r="A96" s="25">
        <f t="shared" si="117"/>
        <v>76</v>
      </c>
      <c r="B96" s="26" t="s">
        <v>256</v>
      </c>
      <c r="C96" s="27" t="s">
        <v>114</v>
      </c>
      <c r="D96" s="28" t="s">
        <v>18</v>
      </c>
      <c r="E96" s="29">
        <f t="shared" si="84"/>
        <v>27.3</v>
      </c>
      <c r="F96" s="29">
        <v>0</v>
      </c>
      <c r="G96" s="30">
        <f t="shared" si="67"/>
        <v>0</v>
      </c>
      <c r="H96" s="30"/>
      <c r="I96" s="30">
        <f t="shared" si="69"/>
        <v>0</v>
      </c>
      <c r="J96" s="31">
        <v>27.3</v>
      </c>
      <c r="K96" s="30">
        <f t="shared" si="70"/>
        <v>0</v>
      </c>
      <c r="L96" s="30"/>
      <c r="M96" s="30">
        <f t="shared" si="71"/>
        <v>0</v>
      </c>
      <c r="N96" s="29">
        <v>0</v>
      </c>
      <c r="O96" s="30">
        <f t="shared" si="72"/>
        <v>0</v>
      </c>
      <c r="P96" s="30"/>
      <c r="Q96" s="30">
        <f t="shared" si="73"/>
        <v>0</v>
      </c>
      <c r="R96" s="30">
        <v>0</v>
      </c>
      <c r="S96" s="30">
        <f t="shared" si="122"/>
        <v>0</v>
      </c>
      <c r="T96" s="30"/>
      <c r="U96" s="30">
        <f t="shared" si="74"/>
        <v>0</v>
      </c>
      <c r="V96" s="29">
        <v>0</v>
      </c>
      <c r="W96" s="30">
        <f t="shared" si="75"/>
        <v>0</v>
      </c>
      <c r="X96" s="30"/>
      <c r="Y96" s="30">
        <f t="shared" si="76"/>
        <v>0</v>
      </c>
      <c r="Z96" s="31">
        <v>0</v>
      </c>
      <c r="AA96" s="30">
        <f t="shared" si="77"/>
        <v>0</v>
      </c>
      <c r="AB96" s="30"/>
      <c r="AC96" s="30">
        <f t="shared" si="112"/>
        <v>0</v>
      </c>
      <c r="AD96" s="31">
        <v>0</v>
      </c>
      <c r="AE96" s="30">
        <f t="shared" si="79"/>
        <v>0</v>
      </c>
      <c r="AF96" s="30"/>
      <c r="AG96" s="30">
        <f t="shared" si="80"/>
        <v>0</v>
      </c>
      <c r="AH96" s="30">
        <f t="shared" si="99"/>
        <v>0</v>
      </c>
      <c r="AI96" s="30">
        <f t="shared" si="121"/>
        <v>0</v>
      </c>
      <c r="AJ96" s="31">
        <v>0</v>
      </c>
      <c r="AK96" s="30" t="s">
        <v>314</v>
      </c>
      <c r="AL96" s="32">
        <v>0</v>
      </c>
      <c r="AM96" s="32">
        <f t="shared" si="104"/>
        <v>0</v>
      </c>
      <c r="AN96" s="32"/>
      <c r="AO96" s="32">
        <f t="shared" si="82"/>
        <v>0</v>
      </c>
      <c r="AP96" s="32">
        <f t="shared" si="81"/>
        <v>0</v>
      </c>
      <c r="AQ96" s="33">
        <f t="shared" si="83"/>
        <v>0</v>
      </c>
      <c r="AR96" s="82">
        <f t="shared" si="83"/>
        <v>0</v>
      </c>
      <c r="AS96" s="9"/>
      <c r="AT96" s="9"/>
      <c r="AU96" s="9"/>
      <c r="AV96" s="9"/>
      <c r="AW96" s="65"/>
      <c r="AX96" s="65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  <c r="BZ96" s="62"/>
      <c r="CA96" s="62"/>
      <c r="CB96" s="62"/>
      <c r="CC96" s="62"/>
      <c r="CD96" s="62"/>
      <c r="CE96" s="62"/>
      <c r="CF96" s="62"/>
      <c r="CG96" s="62"/>
    </row>
    <row r="97" spans="1:85" s="4" customFormat="1" ht="75" outlineLevel="1" x14ac:dyDescent="0.25">
      <c r="A97" s="25">
        <f t="shared" si="117"/>
        <v>77</v>
      </c>
      <c r="B97" s="26" t="s">
        <v>256</v>
      </c>
      <c r="C97" s="27" t="s">
        <v>115</v>
      </c>
      <c r="D97" s="28" t="s">
        <v>18</v>
      </c>
      <c r="E97" s="29">
        <f t="shared" si="84"/>
        <v>27.4</v>
      </c>
      <c r="F97" s="29">
        <v>0</v>
      </c>
      <c r="G97" s="30">
        <f t="shared" si="67"/>
        <v>0</v>
      </c>
      <c r="H97" s="30"/>
      <c r="I97" s="30">
        <f t="shared" si="69"/>
        <v>0</v>
      </c>
      <c r="J97" s="31">
        <v>27.4</v>
      </c>
      <c r="K97" s="30">
        <f t="shared" si="70"/>
        <v>0</v>
      </c>
      <c r="L97" s="30"/>
      <c r="M97" s="30">
        <f t="shared" si="71"/>
        <v>0</v>
      </c>
      <c r="N97" s="29">
        <v>0</v>
      </c>
      <c r="O97" s="30">
        <f t="shared" si="72"/>
        <v>0</v>
      </c>
      <c r="P97" s="30"/>
      <c r="Q97" s="30">
        <f t="shared" si="73"/>
        <v>0</v>
      </c>
      <c r="R97" s="30">
        <v>0</v>
      </c>
      <c r="S97" s="30">
        <f t="shared" si="122"/>
        <v>0</v>
      </c>
      <c r="T97" s="30"/>
      <c r="U97" s="30">
        <f t="shared" si="74"/>
        <v>0</v>
      </c>
      <c r="V97" s="29">
        <v>0</v>
      </c>
      <c r="W97" s="30">
        <f t="shared" si="75"/>
        <v>0</v>
      </c>
      <c r="X97" s="30"/>
      <c r="Y97" s="30">
        <f t="shared" si="76"/>
        <v>0</v>
      </c>
      <c r="Z97" s="31">
        <v>0</v>
      </c>
      <c r="AA97" s="30">
        <f t="shared" si="77"/>
        <v>0</v>
      </c>
      <c r="AB97" s="30"/>
      <c r="AC97" s="30">
        <f t="shared" si="112"/>
        <v>0</v>
      </c>
      <c r="AD97" s="31">
        <v>0</v>
      </c>
      <c r="AE97" s="30">
        <f t="shared" si="79"/>
        <v>0</v>
      </c>
      <c r="AF97" s="30"/>
      <c r="AG97" s="30">
        <f t="shared" si="80"/>
        <v>0</v>
      </c>
      <c r="AH97" s="30">
        <f t="shared" si="99"/>
        <v>0</v>
      </c>
      <c r="AI97" s="30">
        <f t="shared" si="121"/>
        <v>0</v>
      </c>
      <c r="AJ97" s="31">
        <f>5.2+539.7</f>
        <v>544.90000000000009</v>
      </c>
      <c r="AK97" s="30" t="s">
        <v>314</v>
      </c>
      <c r="AL97" s="32">
        <v>0</v>
      </c>
      <c r="AM97" s="32">
        <f t="shared" si="104"/>
        <v>0</v>
      </c>
      <c r="AN97" s="32"/>
      <c r="AO97" s="32">
        <f t="shared" si="82"/>
        <v>0</v>
      </c>
      <c r="AP97" s="32">
        <f t="shared" si="81"/>
        <v>0</v>
      </c>
      <c r="AQ97" s="33">
        <f t="shared" si="83"/>
        <v>0</v>
      </c>
      <c r="AR97" s="82">
        <f t="shared" si="83"/>
        <v>0</v>
      </c>
      <c r="AS97" s="9"/>
      <c r="AT97" s="9"/>
      <c r="AU97" s="9"/>
      <c r="AV97" s="9"/>
      <c r="AW97" s="65"/>
      <c r="AX97" s="65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</row>
    <row r="98" spans="1:85" s="5" customFormat="1" ht="64.5" customHeight="1" outlineLevel="1" x14ac:dyDescent="0.25">
      <c r="A98" s="141" t="s">
        <v>54</v>
      </c>
      <c r="B98" s="142"/>
      <c r="C98" s="142"/>
      <c r="D98" s="105"/>
      <c r="E98" s="29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30"/>
      <c r="AI98" s="30"/>
      <c r="AJ98" s="105"/>
      <c r="AK98" s="30"/>
      <c r="AL98" s="105"/>
      <c r="AM98" s="105"/>
      <c r="AN98" s="105"/>
      <c r="AO98" s="105"/>
      <c r="AP98" s="105"/>
      <c r="AQ98" s="111"/>
      <c r="AR98" s="126"/>
      <c r="AS98" s="9"/>
      <c r="AT98" s="9"/>
      <c r="AU98" s="9"/>
      <c r="AV98" s="9"/>
      <c r="AW98" s="9"/>
      <c r="AX98" s="9"/>
    </row>
    <row r="99" spans="1:85" s="4" customFormat="1" ht="64.5" customHeight="1" outlineLevel="1" x14ac:dyDescent="0.25">
      <c r="A99" s="25">
        <f>A97+1</f>
        <v>78</v>
      </c>
      <c r="B99" s="45" t="s">
        <v>258</v>
      </c>
      <c r="C99" s="27" t="s">
        <v>116</v>
      </c>
      <c r="D99" s="28" t="s">
        <v>18</v>
      </c>
      <c r="E99" s="29">
        <f t="shared" si="84"/>
        <v>298.3</v>
      </c>
      <c r="F99" s="29">
        <f>89.6</f>
        <v>89.6</v>
      </c>
      <c r="G99" s="30">
        <f t="shared" si="67"/>
        <v>0</v>
      </c>
      <c r="H99" s="30"/>
      <c r="I99" s="30">
        <f t="shared" si="69"/>
        <v>0</v>
      </c>
      <c r="J99" s="31">
        <f>40.5+18+10+8</f>
        <v>76.5</v>
      </c>
      <c r="K99" s="30">
        <f t="shared" si="70"/>
        <v>0</v>
      </c>
      <c r="L99" s="30"/>
      <c r="M99" s="30">
        <f t="shared" si="71"/>
        <v>0</v>
      </c>
      <c r="N99" s="29">
        <v>30.8</v>
      </c>
      <c r="O99" s="30">
        <f t="shared" si="72"/>
        <v>0</v>
      </c>
      <c r="P99" s="30"/>
      <c r="Q99" s="30">
        <f t="shared" si="73"/>
        <v>0</v>
      </c>
      <c r="R99" s="30">
        <v>13.8</v>
      </c>
      <c r="S99" s="30">
        <f t="shared" ref="S99:S101" si="123">T99/1.18</f>
        <v>0</v>
      </c>
      <c r="T99" s="30"/>
      <c r="U99" s="30">
        <f t="shared" si="74"/>
        <v>0</v>
      </c>
      <c r="V99" s="29">
        <f>61.9+16.1+4.6</f>
        <v>82.6</v>
      </c>
      <c r="W99" s="30">
        <f t="shared" si="75"/>
        <v>0</v>
      </c>
      <c r="X99" s="30"/>
      <c r="Y99" s="30">
        <f t="shared" si="76"/>
        <v>0</v>
      </c>
      <c r="Z99" s="31">
        <v>0</v>
      </c>
      <c r="AA99" s="30">
        <f t="shared" si="77"/>
        <v>0</v>
      </c>
      <c r="AB99" s="30"/>
      <c r="AC99" s="30">
        <f t="shared" si="78"/>
        <v>0</v>
      </c>
      <c r="AD99" s="31">
        <v>5</v>
      </c>
      <c r="AE99" s="30">
        <f t="shared" si="79"/>
        <v>0</v>
      </c>
      <c r="AF99" s="30"/>
      <c r="AG99" s="30">
        <f t="shared" si="80"/>
        <v>0</v>
      </c>
      <c r="AH99" s="30">
        <f t="shared" si="99"/>
        <v>0</v>
      </c>
      <c r="AI99" s="30">
        <f t="shared" si="121"/>
        <v>0</v>
      </c>
      <c r="AJ99" s="31">
        <v>30</v>
      </c>
      <c r="AK99" s="30" t="s">
        <v>314</v>
      </c>
      <c r="AL99" s="32">
        <v>0</v>
      </c>
      <c r="AM99" s="32">
        <f t="shared" si="104"/>
        <v>0</v>
      </c>
      <c r="AN99" s="32"/>
      <c r="AO99" s="32">
        <f t="shared" si="82"/>
        <v>0</v>
      </c>
      <c r="AP99" s="32">
        <f t="shared" si="81"/>
        <v>0</v>
      </c>
      <c r="AQ99" s="33">
        <f t="shared" si="83"/>
        <v>0</v>
      </c>
      <c r="AR99" s="82">
        <f t="shared" si="83"/>
        <v>0</v>
      </c>
      <c r="AS99" s="9"/>
      <c r="AT99" s="9"/>
      <c r="AU99" s="9"/>
      <c r="AV99" s="9"/>
      <c r="AW99" s="65"/>
      <c r="AX99" s="65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62"/>
      <c r="BY99" s="62"/>
      <c r="BZ99" s="62"/>
      <c r="CA99" s="62"/>
      <c r="CB99" s="62"/>
      <c r="CC99" s="62"/>
      <c r="CD99" s="62"/>
      <c r="CE99" s="62"/>
      <c r="CF99" s="62"/>
      <c r="CG99" s="62"/>
    </row>
    <row r="100" spans="1:85" s="4" customFormat="1" ht="64.5" customHeight="1" outlineLevel="1" x14ac:dyDescent="0.25">
      <c r="A100" s="25">
        <f>A99+1</f>
        <v>79</v>
      </c>
      <c r="B100" s="26" t="s">
        <v>258</v>
      </c>
      <c r="C100" s="27" t="s">
        <v>117</v>
      </c>
      <c r="D100" s="28" t="s">
        <v>18</v>
      </c>
      <c r="E100" s="29">
        <f t="shared" si="84"/>
        <v>128.9</v>
      </c>
      <c r="F100" s="29">
        <v>35.200000000000003</v>
      </c>
      <c r="G100" s="30">
        <f t="shared" si="67"/>
        <v>0</v>
      </c>
      <c r="H100" s="30"/>
      <c r="I100" s="30">
        <f t="shared" si="69"/>
        <v>0</v>
      </c>
      <c r="J100" s="31">
        <f>14.2</f>
        <v>14.2</v>
      </c>
      <c r="K100" s="30">
        <f t="shared" si="70"/>
        <v>0</v>
      </c>
      <c r="L100" s="30"/>
      <c r="M100" s="30">
        <f t="shared" si="71"/>
        <v>0</v>
      </c>
      <c r="N100" s="29">
        <v>44</v>
      </c>
      <c r="O100" s="30">
        <f t="shared" si="72"/>
        <v>0</v>
      </c>
      <c r="P100" s="30"/>
      <c r="Q100" s="30">
        <f t="shared" si="73"/>
        <v>0</v>
      </c>
      <c r="R100" s="30">
        <v>13.1</v>
      </c>
      <c r="S100" s="30">
        <f t="shared" si="123"/>
        <v>0</v>
      </c>
      <c r="T100" s="30"/>
      <c r="U100" s="30">
        <f t="shared" si="74"/>
        <v>0</v>
      </c>
      <c r="V100" s="29">
        <f>20</f>
        <v>20</v>
      </c>
      <c r="W100" s="30">
        <f t="shared" si="75"/>
        <v>0</v>
      </c>
      <c r="X100" s="30"/>
      <c r="Y100" s="30">
        <f t="shared" si="76"/>
        <v>0</v>
      </c>
      <c r="Z100" s="31">
        <v>0</v>
      </c>
      <c r="AA100" s="30">
        <f t="shared" si="77"/>
        <v>0</v>
      </c>
      <c r="AB100" s="30"/>
      <c r="AC100" s="30">
        <f t="shared" si="78"/>
        <v>0</v>
      </c>
      <c r="AD100" s="31">
        <v>2.4</v>
      </c>
      <c r="AE100" s="30">
        <f t="shared" si="79"/>
        <v>0</v>
      </c>
      <c r="AF100" s="30"/>
      <c r="AG100" s="30">
        <f t="shared" si="80"/>
        <v>0</v>
      </c>
      <c r="AH100" s="30">
        <f t="shared" si="99"/>
        <v>0</v>
      </c>
      <c r="AI100" s="30">
        <f t="shared" si="121"/>
        <v>0</v>
      </c>
      <c r="AJ100" s="31">
        <v>0</v>
      </c>
      <c r="AK100" s="30" t="s">
        <v>314</v>
      </c>
      <c r="AL100" s="32">
        <v>0</v>
      </c>
      <c r="AM100" s="32">
        <f t="shared" si="104"/>
        <v>0</v>
      </c>
      <c r="AN100" s="32"/>
      <c r="AO100" s="32">
        <f t="shared" si="82"/>
        <v>0</v>
      </c>
      <c r="AP100" s="32">
        <f t="shared" si="81"/>
        <v>0</v>
      </c>
      <c r="AQ100" s="33">
        <f t="shared" si="83"/>
        <v>0</v>
      </c>
      <c r="AR100" s="82">
        <f t="shared" si="83"/>
        <v>0</v>
      </c>
      <c r="AS100" s="9"/>
      <c r="AT100" s="9"/>
      <c r="AU100" s="9"/>
      <c r="AV100" s="9"/>
      <c r="AW100" s="65"/>
      <c r="AX100" s="65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  <c r="BZ100" s="62"/>
      <c r="CA100" s="62"/>
      <c r="CB100" s="62"/>
      <c r="CC100" s="62"/>
      <c r="CD100" s="62"/>
      <c r="CE100" s="62"/>
      <c r="CF100" s="62"/>
      <c r="CG100" s="62"/>
    </row>
    <row r="101" spans="1:85" s="4" customFormat="1" ht="64.5" customHeight="1" outlineLevel="1" x14ac:dyDescent="0.25">
      <c r="A101" s="25">
        <f t="shared" ref="A101:A103" si="124">A100+1</f>
        <v>80</v>
      </c>
      <c r="B101" s="26" t="s">
        <v>258</v>
      </c>
      <c r="C101" s="27" t="s">
        <v>118</v>
      </c>
      <c r="D101" s="28" t="s">
        <v>18</v>
      </c>
      <c r="E101" s="29">
        <f t="shared" si="84"/>
        <v>149.69999999999999</v>
      </c>
      <c r="F101" s="29">
        <v>0</v>
      </c>
      <c r="G101" s="30">
        <f t="shared" si="67"/>
        <v>0</v>
      </c>
      <c r="H101" s="30"/>
      <c r="I101" s="30">
        <f t="shared" si="69"/>
        <v>0</v>
      </c>
      <c r="J101" s="31">
        <v>89.7</v>
      </c>
      <c r="K101" s="30">
        <f t="shared" si="70"/>
        <v>0</v>
      </c>
      <c r="L101" s="30"/>
      <c r="M101" s="30">
        <f t="shared" si="71"/>
        <v>0</v>
      </c>
      <c r="N101" s="29">
        <v>0</v>
      </c>
      <c r="O101" s="30">
        <f t="shared" si="72"/>
        <v>0</v>
      </c>
      <c r="P101" s="30"/>
      <c r="Q101" s="30">
        <f t="shared" si="73"/>
        <v>0</v>
      </c>
      <c r="R101" s="30">
        <v>45</v>
      </c>
      <c r="S101" s="30">
        <f t="shared" si="123"/>
        <v>0</v>
      </c>
      <c r="T101" s="30"/>
      <c r="U101" s="30">
        <f t="shared" si="74"/>
        <v>0</v>
      </c>
      <c r="V101" s="29">
        <v>11</v>
      </c>
      <c r="W101" s="30">
        <f t="shared" si="75"/>
        <v>0</v>
      </c>
      <c r="X101" s="30"/>
      <c r="Y101" s="30">
        <f t="shared" si="76"/>
        <v>0</v>
      </c>
      <c r="Z101" s="31">
        <v>0</v>
      </c>
      <c r="AA101" s="30">
        <f t="shared" si="77"/>
        <v>0</v>
      </c>
      <c r="AB101" s="30"/>
      <c r="AC101" s="30">
        <f t="shared" si="78"/>
        <v>0</v>
      </c>
      <c r="AD101" s="31">
        <v>4</v>
      </c>
      <c r="AE101" s="30">
        <f t="shared" si="79"/>
        <v>0</v>
      </c>
      <c r="AF101" s="30"/>
      <c r="AG101" s="30">
        <f t="shared" si="80"/>
        <v>0</v>
      </c>
      <c r="AH101" s="30">
        <f t="shared" si="99"/>
        <v>0</v>
      </c>
      <c r="AI101" s="30">
        <f t="shared" si="121"/>
        <v>0</v>
      </c>
      <c r="AJ101" s="31">
        <v>0</v>
      </c>
      <c r="AK101" s="30" t="s">
        <v>314</v>
      </c>
      <c r="AL101" s="32">
        <v>0</v>
      </c>
      <c r="AM101" s="32">
        <f t="shared" si="104"/>
        <v>0</v>
      </c>
      <c r="AN101" s="32"/>
      <c r="AO101" s="32">
        <f t="shared" si="82"/>
        <v>0</v>
      </c>
      <c r="AP101" s="32">
        <f t="shared" si="81"/>
        <v>0</v>
      </c>
      <c r="AQ101" s="33">
        <f t="shared" si="83"/>
        <v>0</v>
      </c>
      <c r="AR101" s="82">
        <f t="shared" si="83"/>
        <v>0</v>
      </c>
      <c r="AS101" s="9"/>
      <c r="AT101" s="9"/>
      <c r="AU101" s="9"/>
      <c r="AV101" s="9"/>
      <c r="AW101" s="65"/>
      <c r="AX101" s="65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</row>
    <row r="102" spans="1:85" s="4" customFormat="1" ht="64.5" customHeight="1" outlineLevel="1" x14ac:dyDescent="0.25">
      <c r="A102" s="25">
        <f t="shared" si="124"/>
        <v>81</v>
      </c>
      <c r="B102" s="26" t="s">
        <v>256</v>
      </c>
      <c r="C102" s="27" t="s">
        <v>224</v>
      </c>
      <c r="D102" s="28" t="s">
        <v>18</v>
      </c>
      <c r="E102" s="29">
        <f t="shared" si="84"/>
        <v>806.90000000000009</v>
      </c>
      <c r="F102" s="29">
        <f>26+106.2+74.5</f>
        <v>206.7</v>
      </c>
      <c r="G102" s="30">
        <f t="shared" si="67"/>
        <v>0</v>
      </c>
      <c r="H102" s="30"/>
      <c r="I102" s="30">
        <f t="shared" si="69"/>
        <v>0</v>
      </c>
      <c r="J102" s="31">
        <f>32.6+16.5+59.3+30.2+144</f>
        <v>282.60000000000002</v>
      </c>
      <c r="K102" s="30">
        <f t="shared" si="70"/>
        <v>0</v>
      </c>
      <c r="L102" s="30"/>
      <c r="M102" s="30">
        <f t="shared" si="71"/>
        <v>0</v>
      </c>
      <c r="N102" s="29">
        <v>0</v>
      </c>
      <c r="O102" s="30">
        <f t="shared" si="72"/>
        <v>0</v>
      </c>
      <c r="P102" s="30"/>
      <c r="Q102" s="30">
        <f t="shared" si="73"/>
        <v>0</v>
      </c>
      <c r="R102" s="30">
        <f>3.8+4+18</f>
        <v>25.8</v>
      </c>
      <c r="S102" s="30">
        <v>4.2</v>
      </c>
      <c r="T102" s="30"/>
      <c r="U102" s="30">
        <f t="shared" si="74"/>
        <v>0</v>
      </c>
      <c r="V102" s="29">
        <f>26.4+40.8+90+9.8</f>
        <v>167</v>
      </c>
      <c r="W102" s="30">
        <f t="shared" si="75"/>
        <v>0</v>
      </c>
      <c r="X102" s="30"/>
      <c r="Y102" s="30">
        <f t="shared" si="76"/>
        <v>0</v>
      </c>
      <c r="Z102" s="31">
        <v>111.6</v>
      </c>
      <c r="AA102" s="30">
        <f t="shared" si="77"/>
        <v>0</v>
      </c>
      <c r="AB102" s="30"/>
      <c r="AC102" s="30">
        <f t="shared" si="78"/>
        <v>0</v>
      </c>
      <c r="AD102" s="31">
        <v>13.2</v>
      </c>
      <c r="AE102" s="30">
        <f t="shared" si="79"/>
        <v>0</v>
      </c>
      <c r="AF102" s="30"/>
      <c r="AG102" s="30">
        <f t="shared" si="80"/>
        <v>0</v>
      </c>
      <c r="AH102" s="30">
        <f t="shared" si="99"/>
        <v>0</v>
      </c>
      <c r="AI102" s="30">
        <f t="shared" si="121"/>
        <v>0</v>
      </c>
      <c r="AJ102" s="31">
        <v>600</v>
      </c>
      <c r="AK102" s="30" t="s">
        <v>314</v>
      </c>
      <c r="AL102" s="32">
        <v>0</v>
      </c>
      <c r="AM102" s="32">
        <f t="shared" si="104"/>
        <v>0</v>
      </c>
      <c r="AN102" s="32"/>
      <c r="AO102" s="32">
        <f t="shared" si="82"/>
        <v>0</v>
      </c>
      <c r="AP102" s="32">
        <f t="shared" si="81"/>
        <v>0</v>
      </c>
      <c r="AQ102" s="33">
        <f t="shared" si="83"/>
        <v>0</v>
      </c>
      <c r="AR102" s="82">
        <f t="shared" si="83"/>
        <v>0</v>
      </c>
      <c r="AS102" s="9"/>
      <c r="AT102" s="9"/>
      <c r="AU102" s="9"/>
      <c r="AV102" s="9"/>
      <c r="AW102" s="65"/>
      <c r="AX102" s="65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62"/>
      <c r="BY102" s="62"/>
      <c r="BZ102" s="62"/>
      <c r="CA102" s="62"/>
      <c r="CB102" s="62"/>
      <c r="CC102" s="62"/>
      <c r="CD102" s="62"/>
      <c r="CE102" s="62"/>
      <c r="CF102" s="62"/>
      <c r="CG102" s="62"/>
    </row>
    <row r="103" spans="1:85" s="4" customFormat="1" ht="64.5" customHeight="1" outlineLevel="1" x14ac:dyDescent="0.25">
      <c r="A103" s="25">
        <f t="shared" si="124"/>
        <v>82</v>
      </c>
      <c r="B103" s="26" t="s">
        <v>256</v>
      </c>
      <c r="C103" s="27" t="s">
        <v>225</v>
      </c>
      <c r="D103" s="28" t="s">
        <v>18</v>
      </c>
      <c r="E103" s="29">
        <f t="shared" si="84"/>
        <v>733.17</v>
      </c>
      <c r="F103" s="29">
        <f>115.2+56.2</f>
        <v>171.4</v>
      </c>
      <c r="G103" s="30">
        <f t="shared" si="67"/>
        <v>0</v>
      </c>
      <c r="H103" s="30"/>
      <c r="I103" s="30">
        <f t="shared" si="69"/>
        <v>0</v>
      </c>
      <c r="J103" s="31">
        <f>37+38.7+55.75+198</f>
        <v>329.45</v>
      </c>
      <c r="K103" s="30">
        <f t="shared" si="70"/>
        <v>0</v>
      </c>
      <c r="L103" s="30"/>
      <c r="M103" s="30">
        <f t="shared" si="71"/>
        <v>0</v>
      </c>
      <c r="N103" s="29">
        <v>0</v>
      </c>
      <c r="O103" s="30">
        <f t="shared" si="72"/>
        <v>0</v>
      </c>
      <c r="P103" s="30"/>
      <c r="Q103" s="30">
        <f t="shared" si="73"/>
        <v>0</v>
      </c>
      <c r="R103" s="30">
        <f>27.3</f>
        <v>27.3</v>
      </c>
      <c r="S103" s="30">
        <f t="shared" ref="S103" si="125">T103/1.18</f>
        <v>0</v>
      </c>
      <c r="T103" s="30"/>
      <c r="U103" s="30">
        <f t="shared" si="74"/>
        <v>0</v>
      </c>
      <c r="V103" s="29">
        <f>19.1+101.02+24.6</f>
        <v>144.72</v>
      </c>
      <c r="W103" s="30">
        <f t="shared" si="75"/>
        <v>0</v>
      </c>
      <c r="X103" s="30"/>
      <c r="Y103" s="30">
        <f t="shared" si="76"/>
        <v>0</v>
      </c>
      <c r="Z103" s="31">
        <f>35.9+21.4</f>
        <v>57.3</v>
      </c>
      <c r="AA103" s="30">
        <f t="shared" si="77"/>
        <v>0</v>
      </c>
      <c r="AB103" s="30"/>
      <c r="AC103" s="30">
        <f t="shared" si="78"/>
        <v>0</v>
      </c>
      <c r="AD103" s="31">
        <v>3</v>
      </c>
      <c r="AE103" s="30">
        <f t="shared" si="79"/>
        <v>0</v>
      </c>
      <c r="AF103" s="30"/>
      <c r="AG103" s="30">
        <f t="shared" si="80"/>
        <v>0</v>
      </c>
      <c r="AH103" s="30">
        <f t="shared" si="99"/>
        <v>0</v>
      </c>
      <c r="AI103" s="30">
        <f t="shared" si="121"/>
        <v>0</v>
      </c>
      <c r="AJ103" s="31">
        <v>688.8</v>
      </c>
      <c r="AK103" s="30" t="s">
        <v>314</v>
      </c>
      <c r="AL103" s="32">
        <v>0</v>
      </c>
      <c r="AM103" s="32">
        <f t="shared" si="104"/>
        <v>0</v>
      </c>
      <c r="AN103" s="32"/>
      <c r="AO103" s="32">
        <f t="shared" si="82"/>
        <v>0</v>
      </c>
      <c r="AP103" s="32">
        <f t="shared" si="81"/>
        <v>0</v>
      </c>
      <c r="AQ103" s="33">
        <f t="shared" si="83"/>
        <v>0</v>
      </c>
      <c r="AR103" s="82">
        <f t="shared" si="83"/>
        <v>0</v>
      </c>
      <c r="AS103" s="9"/>
      <c r="AT103" s="9"/>
      <c r="AU103" s="9"/>
      <c r="AV103" s="9"/>
      <c r="AW103" s="65"/>
      <c r="AX103" s="65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  <c r="BZ103" s="62"/>
      <c r="CA103" s="62"/>
      <c r="CB103" s="62"/>
      <c r="CC103" s="62"/>
      <c r="CD103" s="62"/>
      <c r="CE103" s="62"/>
      <c r="CF103" s="62"/>
      <c r="CG103" s="62"/>
    </row>
    <row r="104" spans="1:85" s="43" customFormat="1" ht="64.5" customHeight="1" outlineLevel="1" x14ac:dyDescent="0.3">
      <c r="A104" s="143" t="s">
        <v>55</v>
      </c>
      <c r="B104" s="144"/>
      <c r="C104" s="144"/>
      <c r="D104" s="101"/>
      <c r="E104" s="29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30"/>
      <c r="AI104" s="30"/>
      <c r="AJ104" s="101"/>
      <c r="AK104" s="30"/>
      <c r="AL104" s="101"/>
      <c r="AM104" s="101"/>
      <c r="AN104" s="101"/>
      <c r="AO104" s="101"/>
      <c r="AP104" s="101"/>
      <c r="AQ104" s="111"/>
      <c r="AR104" s="126"/>
      <c r="AS104" s="42"/>
      <c r="AT104" s="42"/>
      <c r="AU104" s="42"/>
      <c r="AV104" s="42"/>
      <c r="AW104" s="42"/>
      <c r="AX104" s="42"/>
    </row>
    <row r="105" spans="1:85" s="5" customFormat="1" ht="64.5" customHeight="1" outlineLevel="1" x14ac:dyDescent="0.25">
      <c r="A105" s="141" t="s">
        <v>57</v>
      </c>
      <c r="B105" s="142"/>
      <c r="C105" s="142"/>
      <c r="D105" s="105"/>
      <c r="E105" s="29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5"/>
      <c r="AH105" s="30"/>
      <c r="AI105" s="30"/>
      <c r="AJ105" s="105"/>
      <c r="AK105" s="30"/>
      <c r="AL105" s="105"/>
      <c r="AM105" s="105"/>
      <c r="AN105" s="105"/>
      <c r="AO105" s="105"/>
      <c r="AP105" s="105"/>
      <c r="AQ105" s="111"/>
      <c r="AR105" s="126"/>
      <c r="AS105" s="9"/>
      <c r="AT105" s="9"/>
      <c r="AU105" s="9"/>
      <c r="AV105" s="9"/>
      <c r="AW105" s="9"/>
      <c r="AX105" s="9"/>
    </row>
    <row r="106" spans="1:85" s="4" customFormat="1" ht="64.5" customHeight="1" outlineLevel="1" x14ac:dyDescent="0.25">
      <c r="A106" s="25">
        <f>A103+1</f>
        <v>83</v>
      </c>
      <c r="B106" s="26" t="s">
        <v>257</v>
      </c>
      <c r="C106" s="27" t="s">
        <v>119</v>
      </c>
      <c r="D106" s="28" t="s">
        <v>18</v>
      </c>
      <c r="E106" s="29">
        <f t="shared" si="84"/>
        <v>1295.7</v>
      </c>
      <c r="F106" s="29">
        <f>224+271.7</f>
        <v>495.7</v>
      </c>
      <c r="G106" s="30">
        <f t="shared" si="67"/>
        <v>0</v>
      </c>
      <c r="H106" s="30"/>
      <c r="I106" s="30">
        <f t="shared" si="69"/>
        <v>0</v>
      </c>
      <c r="J106" s="31">
        <f>177.5+47.5</f>
        <v>225</v>
      </c>
      <c r="K106" s="30">
        <f t="shared" si="70"/>
        <v>0</v>
      </c>
      <c r="L106" s="30"/>
      <c r="M106" s="30">
        <f t="shared" si="71"/>
        <v>0</v>
      </c>
      <c r="N106" s="29">
        <v>65.099999999999994</v>
      </c>
      <c r="O106" s="30">
        <f t="shared" si="72"/>
        <v>0</v>
      </c>
      <c r="P106" s="30"/>
      <c r="Q106" s="30">
        <f t="shared" si="73"/>
        <v>0</v>
      </c>
      <c r="R106" s="30">
        <v>31.6</v>
      </c>
      <c r="S106" s="30">
        <v>4.2</v>
      </c>
      <c r="T106" s="30"/>
      <c r="U106" s="30">
        <f t="shared" si="74"/>
        <v>0</v>
      </c>
      <c r="V106" s="29">
        <f>135.8+216</f>
        <v>351.8</v>
      </c>
      <c r="W106" s="30">
        <f t="shared" si="75"/>
        <v>0</v>
      </c>
      <c r="X106" s="30"/>
      <c r="Y106" s="30">
        <f t="shared" si="76"/>
        <v>0</v>
      </c>
      <c r="Z106" s="31">
        <v>98</v>
      </c>
      <c r="AA106" s="30">
        <f t="shared" si="77"/>
        <v>0</v>
      </c>
      <c r="AB106" s="30"/>
      <c r="AC106" s="30">
        <f t="shared" si="78"/>
        <v>0</v>
      </c>
      <c r="AD106" s="31">
        <f>18.6+9.9</f>
        <v>28.5</v>
      </c>
      <c r="AE106" s="30">
        <f t="shared" si="79"/>
        <v>0</v>
      </c>
      <c r="AF106" s="30"/>
      <c r="AG106" s="30">
        <f t="shared" si="80"/>
        <v>0</v>
      </c>
      <c r="AH106" s="30">
        <f t="shared" si="99"/>
        <v>0</v>
      </c>
      <c r="AI106" s="30">
        <f t="shared" si="121"/>
        <v>0</v>
      </c>
      <c r="AJ106" s="31">
        <f>63.45*2+1054.05*2</f>
        <v>2235</v>
      </c>
      <c r="AK106" s="30" t="s">
        <v>314</v>
      </c>
      <c r="AL106" s="32">
        <v>0</v>
      </c>
      <c r="AM106" s="32">
        <f t="shared" si="104"/>
        <v>0</v>
      </c>
      <c r="AN106" s="32"/>
      <c r="AO106" s="32">
        <f t="shared" si="82"/>
        <v>0</v>
      </c>
      <c r="AP106" s="32">
        <f t="shared" si="81"/>
        <v>0</v>
      </c>
      <c r="AQ106" s="33">
        <f t="shared" si="83"/>
        <v>0</v>
      </c>
      <c r="AR106" s="82">
        <f t="shared" si="83"/>
        <v>0</v>
      </c>
      <c r="AS106" s="9"/>
      <c r="AT106" s="9"/>
      <c r="AU106" s="9"/>
      <c r="AV106" s="9"/>
      <c r="AW106" s="65"/>
      <c r="AX106" s="65"/>
      <c r="AY106" s="62"/>
      <c r="AZ106" s="62"/>
      <c r="BA106" s="62"/>
      <c r="BB106" s="62"/>
      <c r="BC106" s="62"/>
      <c r="BD106" s="62"/>
      <c r="BE106" s="62"/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  <c r="BZ106" s="62"/>
      <c r="CA106" s="62"/>
      <c r="CB106" s="62"/>
      <c r="CC106" s="62"/>
      <c r="CD106" s="62"/>
      <c r="CE106" s="62"/>
      <c r="CF106" s="62"/>
      <c r="CG106" s="62"/>
    </row>
    <row r="107" spans="1:85" s="4" customFormat="1" ht="64.5" customHeight="1" outlineLevel="1" x14ac:dyDescent="0.25">
      <c r="A107" s="25">
        <f>A106+1</f>
        <v>84</v>
      </c>
      <c r="B107" s="26" t="s">
        <v>257</v>
      </c>
      <c r="C107" s="27" t="s">
        <v>120</v>
      </c>
      <c r="D107" s="28" t="s">
        <v>18</v>
      </c>
      <c r="E107" s="29">
        <f t="shared" si="84"/>
        <v>2144.8000000000002</v>
      </c>
      <c r="F107" s="29">
        <f>254.1+36.8+52.3</f>
        <v>343.2</v>
      </c>
      <c r="G107" s="30">
        <f t="shared" si="67"/>
        <v>0</v>
      </c>
      <c r="H107" s="30"/>
      <c r="I107" s="30">
        <f t="shared" si="69"/>
        <v>0</v>
      </c>
      <c r="J107" s="31">
        <f>427.5-40.6+557.6+36.4</f>
        <v>980.9</v>
      </c>
      <c r="K107" s="30">
        <f t="shared" si="70"/>
        <v>0</v>
      </c>
      <c r="L107" s="30"/>
      <c r="M107" s="30">
        <f t="shared" si="71"/>
        <v>0</v>
      </c>
      <c r="N107" s="29">
        <v>0</v>
      </c>
      <c r="O107" s="30">
        <f t="shared" si="72"/>
        <v>0</v>
      </c>
      <c r="P107" s="30"/>
      <c r="Q107" s="30">
        <f t="shared" si="73"/>
        <v>0</v>
      </c>
      <c r="R107" s="30">
        <f>6.1+18.7</f>
        <v>24.799999999999997</v>
      </c>
      <c r="S107" s="30">
        <f t="shared" ref="S107" si="126">T107/1.18</f>
        <v>0</v>
      </c>
      <c r="T107" s="30"/>
      <c r="U107" s="30">
        <f t="shared" si="74"/>
        <v>0</v>
      </c>
      <c r="V107" s="29">
        <f>126.6+26.4+18+20.3+141.1+13+35.6+69.1</f>
        <v>450.1</v>
      </c>
      <c r="W107" s="30">
        <f t="shared" si="75"/>
        <v>0</v>
      </c>
      <c r="X107" s="30"/>
      <c r="Y107" s="30">
        <f t="shared" si="76"/>
        <v>0</v>
      </c>
      <c r="Z107" s="31">
        <f>33.9+301.4</f>
        <v>335.29999999999995</v>
      </c>
      <c r="AA107" s="30">
        <f t="shared" si="77"/>
        <v>0</v>
      </c>
      <c r="AB107" s="30"/>
      <c r="AC107" s="30">
        <f t="shared" si="78"/>
        <v>0</v>
      </c>
      <c r="AD107" s="31">
        <v>10.5</v>
      </c>
      <c r="AE107" s="30">
        <f t="shared" si="79"/>
        <v>0</v>
      </c>
      <c r="AF107" s="30"/>
      <c r="AG107" s="30">
        <f t="shared" si="80"/>
        <v>0</v>
      </c>
      <c r="AH107" s="30">
        <f t="shared" si="99"/>
        <v>0</v>
      </c>
      <c r="AI107" s="30">
        <f t="shared" si="121"/>
        <v>0</v>
      </c>
      <c r="AJ107" s="31">
        <f>252.3*3+50</f>
        <v>806.90000000000009</v>
      </c>
      <c r="AK107" s="30" t="s">
        <v>314</v>
      </c>
      <c r="AL107" s="32">
        <v>0</v>
      </c>
      <c r="AM107" s="32">
        <f t="shared" si="104"/>
        <v>0</v>
      </c>
      <c r="AN107" s="32"/>
      <c r="AO107" s="32">
        <f t="shared" si="82"/>
        <v>0</v>
      </c>
      <c r="AP107" s="32">
        <f t="shared" si="81"/>
        <v>0</v>
      </c>
      <c r="AQ107" s="33">
        <f t="shared" si="83"/>
        <v>0</v>
      </c>
      <c r="AR107" s="82">
        <f t="shared" si="83"/>
        <v>0</v>
      </c>
      <c r="AS107" s="9"/>
      <c r="AT107" s="9"/>
      <c r="AU107" s="9"/>
      <c r="AV107" s="9"/>
      <c r="AW107" s="65"/>
      <c r="AX107" s="65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  <c r="BZ107" s="62"/>
      <c r="CA107" s="62"/>
      <c r="CB107" s="62"/>
      <c r="CC107" s="62"/>
      <c r="CD107" s="62"/>
      <c r="CE107" s="62"/>
      <c r="CF107" s="62"/>
      <c r="CG107" s="62"/>
    </row>
    <row r="108" spans="1:85" s="5" customFormat="1" ht="64.5" customHeight="1" outlineLevel="1" x14ac:dyDescent="0.25">
      <c r="A108" s="145" t="s">
        <v>234</v>
      </c>
      <c r="B108" s="146"/>
      <c r="C108" s="146"/>
      <c r="D108" s="106"/>
      <c r="E108" s="29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30"/>
      <c r="AI108" s="30"/>
      <c r="AJ108" s="106"/>
      <c r="AK108" s="30"/>
      <c r="AL108" s="106"/>
      <c r="AM108" s="106"/>
      <c r="AN108" s="106"/>
      <c r="AO108" s="106"/>
      <c r="AP108" s="106"/>
      <c r="AQ108" s="111"/>
      <c r="AR108" s="127"/>
      <c r="AS108" s="9"/>
      <c r="AT108" s="9"/>
      <c r="AU108" s="9"/>
      <c r="AV108" s="9"/>
      <c r="AW108" s="9"/>
      <c r="AX108" s="9"/>
    </row>
    <row r="109" spans="1:85" s="4" customFormat="1" ht="64.5" customHeight="1" outlineLevel="1" x14ac:dyDescent="0.25">
      <c r="A109" s="25">
        <f>A107+1</f>
        <v>85</v>
      </c>
      <c r="B109" s="26" t="s">
        <v>256</v>
      </c>
      <c r="C109" s="27" t="s">
        <v>121</v>
      </c>
      <c r="D109" s="28" t="s">
        <v>18</v>
      </c>
      <c r="E109" s="29">
        <f t="shared" si="84"/>
        <v>685.6</v>
      </c>
      <c r="F109" s="29">
        <f>39.7+132.2+10.9+87.2</f>
        <v>270</v>
      </c>
      <c r="G109" s="30">
        <f t="shared" si="67"/>
        <v>0</v>
      </c>
      <c r="H109" s="30"/>
      <c r="I109" s="30">
        <f t="shared" si="69"/>
        <v>0</v>
      </c>
      <c r="J109" s="31">
        <v>0</v>
      </c>
      <c r="K109" s="30">
        <f t="shared" si="70"/>
        <v>0</v>
      </c>
      <c r="L109" s="30"/>
      <c r="M109" s="30">
        <f t="shared" si="71"/>
        <v>0</v>
      </c>
      <c r="N109" s="29">
        <v>0</v>
      </c>
      <c r="O109" s="30">
        <f t="shared" si="72"/>
        <v>0</v>
      </c>
      <c r="P109" s="30"/>
      <c r="Q109" s="30">
        <f t="shared" si="73"/>
        <v>0</v>
      </c>
      <c r="R109" s="30">
        <f>131.4</f>
        <v>131.4</v>
      </c>
      <c r="S109" s="30">
        <v>4.2</v>
      </c>
      <c r="T109" s="30"/>
      <c r="U109" s="30">
        <f t="shared" si="74"/>
        <v>0</v>
      </c>
      <c r="V109" s="29">
        <f>68.1+84+5.9+17.9+33.2+37.9+20</f>
        <v>267</v>
      </c>
      <c r="W109" s="30">
        <f t="shared" si="75"/>
        <v>0</v>
      </c>
      <c r="X109" s="30"/>
      <c r="Y109" s="30">
        <f t="shared" si="76"/>
        <v>0</v>
      </c>
      <c r="Z109" s="31">
        <v>0</v>
      </c>
      <c r="AA109" s="30">
        <f t="shared" si="77"/>
        <v>0</v>
      </c>
      <c r="AB109" s="30"/>
      <c r="AC109" s="30">
        <f t="shared" si="78"/>
        <v>0</v>
      </c>
      <c r="AD109" s="31">
        <f>4.3+2.1+10.8</f>
        <v>17.200000000000003</v>
      </c>
      <c r="AE109" s="30">
        <f t="shared" si="79"/>
        <v>0</v>
      </c>
      <c r="AF109" s="30"/>
      <c r="AG109" s="30">
        <f t="shared" si="80"/>
        <v>0</v>
      </c>
      <c r="AH109" s="30">
        <f t="shared" si="99"/>
        <v>0</v>
      </c>
      <c r="AI109" s="30">
        <f t="shared" si="121"/>
        <v>0</v>
      </c>
      <c r="AJ109" s="31">
        <f>22+786</f>
        <v>808</v>
      </c>
      <c r="AK109" s="30" t="s">
        <v>314</v>
      </c>
      <c r="AL109" s="32">
        <v>0</v>
      </c>
      <c r="AM109" s="32">
        <f t="shared" si="104"/>
        <v>0</v>
      </c>
      <c r="AN109" s="32"/>
      <c r="AO109" s="32">
        <f t="shared" si="82"/>
        <v>0</v>
      </c>
      <c r="AP109" s="32">
        <f t="shared" si="81"/>
        <v>0</v>
      </c>
      <c r="AQ109" s="33">
        <f t="shared" si="83"/>
        <v>0</v>
      </c>
      <c r="AR109" s="82">
        <f t="shared" si="83"/>
        <v>0</v>
      </c>
      <c r="AS109" s="9"/>
      <c r="AT109" s="9"/>
      <c r="AU109" s="9"/>
      <c r="AV109" s="9"/>
      <c r="AW109" s="65"/>
      <c r="AX109" s="65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  <c r="BZ109" s="62"/>
      <c r="CA109" s="62"/>
      <c r="CB109" s="62"/>
      <c r="CC109" s="62"/>
      <c r="CD109" s="62"/>
      <c r="CE109" s="62"/>
      <c r="CF109" s="62"/>
      <c r="CG109" s="62"/>
    </row>
    <row r="110" spans="1:85" s="4" customFormat="1" ht="64.5" customHeight="1" outlineLevel="1" x14ac:dyDescent="0.25">
      <c r="A110" s="25">
        <f>A109+1</f>
        <v>86</v>
      </c>
      <c r="B110" s="26" t="s">
        <v>256</v>
      </c>
      <c r="C110" s="27" t="s">
        <v>122</v>
      </c>
      <c r="D110" s="28" t="s">
        <v>18</v>
      </c>
      <c r="E110" s="29">
        <f t="shared" si="84"/>
        <v>2314.5</v>
      </c>
      <c r="F110" s="29">
        <v>336</v>
      </c>
      <c r="G110" s="30">
        <f t="shared" si="67"/>
        <v>0</v>
      </c>
      <c r="H110" s="30"/>
      <c r="I110" s="30">
        <f t="shared" si="69"/>
        <v>0</v>
      </c>
      <c r="J110" s="31">
        <f>792.9+277.7+343+39</f>
        <v>1452.6</v>
      </c>
      <c r="K110" s="30">
        <f t="shared" si="70"/>
        <v>0</v>
      </c>
      <c r="L110" s="30"/>
      <c r="M110" s="30">
        <f t="shared" si="71"/>
        <v>0</v>
      </c>
      <c r="N110" s="29">
        <v>0</v>
      </c>
      <c r="O110" s="30">
        <f t="shared" si="72"/>
        <v>0</v>
      </c>
      <c r="P110" s="30"/>
      <c r="Q110" s="30">
        <f t="shared" si="73"/>
        <v>0</v>
      </c>
      <c r="R110" s="30">
        <f>56.7+16.5+31.8</f>
        <v>105</v>
      </c>
      <c r="S110" s="30">
        <f t="shared" ref="S110:S111" si="127">T110/1.18</f>
        <v>0</v>
      </c>
      <c r="T110" s="30"/>
      <c r="U110" s="30">
        <f t="shared" si="74"/>
        <v>0</v>
      </c>
      <c r="V110" s="29">
        <f>244+52.4+16.5+16.5</f>
        <v>329.4</v>
      </c>
      <c r="W110" s="30">
        <f t="shared" si="75"/>
        <v>0</v>
      </c>
      <c r="X110" s="30"/>
      <c r="Y110" s="30">
        <f t="shared" si="76"/>
        <v>0</v>
      </c>
      <c r="Z110" s="31">
        <f>54+17.5</f>
        <v>71.5</v>
      </c>
      <c r="AA110" s="30">
        <f t="shared" si="77"/>
        <v>0</v>
      </c>
      <c r="AB110" s="30"/>
      <c r="AC110" s="30">
        <f t="shared" si="78"/>
        <v>0</v>
      </c>
      <c r="AD110" s="31">
        <f>11.7+4.1+4.2</f>
        <v>20</v>
      </c>
      <c r="AE110" s="30">
        <f t="shared" si="79"/>
        <v>0</v>
      </c>
      <c r="AF110" s="30"/>
      <c r="AG110" s="30">
        <f t="shared" si="80"/>
        <v>0</v>
      </c>
      <c r="AH110" s="30">
        <f t="shared" si="99"/>
        <v>0</v>
      </c>
      <c r="AI110" s="30">
        <f t="shared" si="121"/>
        <v>0</v>
      </c>
      <c r="AJ110" s="31">
        <f>15*2+315+415</f>
        <v>760</v>
      </c>
      <c r="AK110" s="30" t="s">
        <v>314</v>
      </c>
      <c r="AL110" s="32">
        <v>0</v>
      </c>
      <c r="AM110" s="32">
        <f t="shared" si="104"/>
        <v>0</v>
      </c>
      <c r="AN110" s="32"/>
      <c r="AO110" s="32">
        <f t="shared" ref="AO110" si="128">AM110*AJ110</f>
        <v>0</v>
      </c>
      <c r="AP110" s="32">
        <f t="shared" ref="AP110" si="129">AN110*AJ110</f>
        <v>0</v>
      </c>
      <c r="AQ110" s="33">
        <f t="shared" si="83"/>
        <v>0</v>
      </c>
      <c r="AR110" s="82">
        <f t="shared" si="83"/>
        <v>0</v>
      </c>
      <c r="AS110" s="9"/>
      <c r="AT110" s="9"/>
      <c r="AU110" s="9"/>
      <c r="AV110" s="9"/>
      <c r="AW110" s="65"/>
      <c r="AX110" s="65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2"/>
      <c r="BY110" s="62"/>
      <c r="BZ110" s="62"/>
      <c r="CA110" s="62"/>
      <c r="CB110" s="62"/>
      <c r="CC110" s="62"/>
      <c r="CD110" s="62"/>
      <c r="CE110" s="62"/>
      <c r="CF110" s="62"/>
      <c r="CG110" s="62"/>
    </row>
    <row r="111" spans="1:85" s="4" customFormat="1" ht="64.5" customHeight="1" outlineLevel="1" x14ac:dyDescent="0.25">
      <c r="A111" s="25">
        <f t="shared" ref="A111:A116" si="130">A110+1</f>
        <v>87</v>
      </c>
      <c r="B111" s="26" t="s">
        <v>256</v>
      </c>
      <c r="C111" s="27" t="s">
        <v>123</v>
      </c>
      <c r="D111" s="28" t="s">
        <v>18</v>
      </c>
      <c r="E111" s="29">
        <f t="shared" si="84"/>
        <v>609.6</v>
      </c>
      <c r="F111" s="29">
        <f>0</f>
        <v>0</v>
      </c>
      <c r="G111" s="30">
        <f t="shared" si="67"/>
        <v>0</v>
      </c>
      <c r="H111" s="30"/>
      <c r="I111" s="30">
        <f t="shared" si="69"/>
        <v>0</v>
      </c>
      <c r="J111" s="31">
        <f>10.4+62.4+68.7+42.5+195</f>
        <v>379</v>
      </c>
      <c r="K111" s="30">
        <f t="shared" si="70"/>
        <v>0</v>
      </c>
      <c r="L111" s="30"/>
      <c r="M111" s="30">
        <f t="shared" si="71"/>
        <v>0</v>
      </c>
      <c r="N111" s="29">
        <v>0</v>
      </c>
      <c r="O111" s="30">
        <f t="shared" si="72"/>
        <v>0</v>
      </c>
      <c r="P111" s="30"/>
      <c r="Q111" s="30">
        <f t="shared" si="73"/>
        <v>0</v>
      </c>
      <c r="R111" s="30">
        <v>40.700000000000003</v>
      </c>
      <c r="S111" s="30">
        <f t="shared" si="127"/>
        <v>0</v>
      </c>
      <c r="T111" s="30"/>
      <c r="U111" s="30">
        <f t="shared" si="74"/>
        <v>0</v>
      </c>
      <c r="V111" s="29">
        <f>38.6+32+38.6+17.8+38.6</f>
        <v>165.6</v>
      </c>
      <c r="W111" s="30">
        <f t="shared" si="75"/>
        <v>0</v>
      </c>
      <c r="X111" s="30"/>
      <c r="Y111" s="30">
        <f t="shared" si="76"/>
        <v>0</v>
      </c>
      <c r="Z111" s="31">
        <v>10.1</v>
      </c>
      <c r="AA111" s="30">
        <f t="shared" si="77"/>
        <v>0</v>
      </c>
      <c r="AB111" s="30"/>
      <c r="AC111" s="30">
        <f t="shared" si="78"/>
        <v>0</v>
      </c>
      <c r="AD111" s="31">
        <f>4.5+4.6+5.1</f>
        <v>14.2</v>
      </c>
      <c r="AE111" s="30">
        <f t="shared" si="79"/>
        <v>0</v>
      </c>
      <c r="AF111" s="30"/>
      <c r="AG111" s="30">
        <f t="shared" si="80"/>
        <v>0</v>
      </c>
      <c r="AH111" s="30">
        <f t="shared" si="99"/>
        <v>0</v>
      </c>
      <c r="AI111" s="30">
        <f t="shared" si="121"/>
        <v>0</v>
      </c>
      <c r="AJ111" s="31">
        <v>40</v>
      </c>
      <c r="AK111" s="30" t="s">
        <v>314</v>
      </c>
      <c r="AL111" s="32">
        <v>0</v>
      </c>
      <c r="AM111" s="32">
        <f t="shared" si="104"/>
        <v>0</v>
      </c>
      <c r="AN111" s="32"/>
      <c r="AO111" s="32">
        <f t="shared" si="82"/>
        <v>0</v>
      </c>
      <c r="AP111" s="32">
        <f t="shared" si="81"/>
        <v>0</v>
      </c>
      <c r="AQ111" s="33">
        <f t="shared" si="83"/>
        <v>0</v>
      </c>
      <c r="AR111" s="82">
        <f t="shared" si="83"/>
        <v>0</v>
      </c>
      <c r="AS111" s="9"/>
      <c r="AT111" s="9"/>
      <c r="AU111" s="9"/>
      <c r="AV111" s="9"/>
      <c r="AW111" s="65"/>
      <c r="AX111" s="65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62"/>
      <c r="BU111" s="62"/>
      <c r="BV111" s="62"/>
      <c r="BW111" s="62"/>
      <c r="BX111" s="62"/>
      <c r="BY111" s="62"/>
      <c r="BZ111" s="62"/>
      <c r="CA111" s="62"/>
      <c r="CB111" s="62"/>
      <c r="CC111" s="62"/>
      <c r="CD111" s="62"/>
      <c r="CE111" s="62"/>
      <c r="CF111" s="62"/>
      <c r="CG111" s="62"/>
    </row>
    <row r="112" spans="1:85" s="4" customFormat="1" ht="75" outlineLevel="1" x14ac:dyDescent="0.25">
      <c r="A112" s="25">
        <f t="shared" si="130"/>
        <v>88</v>
      </c>
      <c r="B112" s="26" t="s">
        <v>256</v>
      </c>
      <c r="C112" s="27" t="s">
        <v>124</v>
      </c>
      <c r="D112" s="28" t="s">
        <v>18</v>
      </c>
      <c r="E112" s="29">
        <f t="shared" si="84"/>
        <v>158.5</v>
      </c>
      <c r="F112" s="29">
        <v>0</v>
      </c>
      <c r="G112" s="30">
        <f t="shared" si="67"/>
        <v>0</v>
      </c>
      <c r="H112" s="30"/>
      <c r="I112" s="30">
        <f t="shared" si="69"/>
        <v>0</v>
      </c>
      <c r="J112" s="31">
        <f>115+10.4</f>
        <v>125.4</v>
      </c>
      <c r="K112" s="30">
        <f t="shared" si="70"/>
        <v>0</v>
      </c>
      <c r="L112" s="30"/>
      <c r="M112" s="30">
        <f t="shared" si="71"/>
        <v>0</v>
      </c>
      <c r="N112" s="29">
        <v>0</v>
      </c>
      <c r="O112" s="30">
        <f t="shared" si="72"/>
        <v>0</v>
      </c>
      <c r="P112" s="30"/>
      <c r="Q112" s="30">
        <f t="shared" si="73"/>
        <v>0</v>
      </c>
      <c r="R112" s="30">
        <v>5</v>
      </c>
      <c r="S112" s="30">
        <v>4.2</v>
      </c>
      <c r="T112" s="30"/>
      <c r="U112" s="30">
        <f t="shared" si="74"/>
        <v>0</v>
      </c>
      <c r="V112" s="29">
        <f>13.5+11</f>
        <v>24.5</v>
      </c>
      <c r="W112" s="30">
        <f t="shared" si="75"/>
        <v>0</v>
      </c>
      <c r="X112" s="30"/>
      <c r="Y112" s="30">
        <f t="shared" si="76"/>
        <v>0</v>
      </c>
      <c r="Z112" s="31">
        <v>0</v>
      </c>
      <c r="AA112" s="30">
        <f t="shared" si="77"/>
        <v>0</v>
      </c>
      <c r="AB112" s="30"/>
      <c r="AC112" s="30">
        <f t="shared" si="78"/>
        <v>0</v>
      </c>
      <c r="AD112" s="31">
        <v>3.6</v>
      </c>
      <c r="AE112" s="30">
        <f t="shared" si="79"/>
        <v>0</v>
      </c>
      <c r="AF112" s="30"/>
      <c r="AG112" s="30">
        <f t="shared" si="80"/>
        <v>0</v>
      </c>
      <c r="AH112" s="30">
        <f t="shared" si="99"/>
        <v>0</v>
      </c>
      <c r="AI112" s="30">
        <f t="shared" si="121"/>
        <v>0</v>
      </c>
      <c r="AJ112" s="31">
        <v>80</v>
      </c>
      <c r="AK112" s="30" t="s">
        <v>314</v>
      </c>
      <c r="AL112" s="32">
        <v>0</v>
      </c>
      <c r="AM112" s="32">
        <f t="shared" si="104"/>
        <v>0</v>
      </c>
      <c r="AN112" s="32"/>
      <c r="AO112" s="32">
        <f t="shared" si="82"/>
        <v>0</v>
      </c>
      <c r="AP112" s="32">
        <f t="shared" si="81"/>
        <v>0</v>
      </c>
      <c r="AQ112" s="33">
        <f t="shared" si="83"/>
        <v>0</v>
      </c>
      <c r="AR112" s="82">
        <f t="shared" si="83"/>
        <v>0</v>
      </c>
      <c r="AS112" s="9"/>
      <c r="AT112" s="9"/>
      <c r="AU112" s="9"/>
      <c r="AV112" s="9"/>
      <c r="AW112" s="65"/>
      <c r="AX112" s="65"/>
      <c r="AY112" s="62"/>
      <c r="AZ112" s="62"/>
      <c r="BA112" s="62"/>
      <c r="BB112" s="62"/>
      <c r="BC112" s="62"/>
      <c r="BD112" s="62"/>
      <c r="BE112" s="62"/>
      <c r="BF112" s="62"/>
      <c r="BG112" s="62"/>
      <c r="BH112" s="62"/>
      <c r="BI112" s="62"/>
      <c r="BJ112" s="62"/>
      <c r="BK112" s="62"/>
      <c r="BL112" s="62"/>
      <c r="BM112" s="62"/>
      <c r="BN112" s="62"/>
      <c r="BO112" s="62"/>
      <c r="BP112" s="62"/>
      <c r="BQ112" s="62"/>
      <c r="BR112" s="62"/>
      <c r="BS112" s="62"/>
      <c r="BT112" s="62"/>
      <c r="BU112" s="62"/>
      <c r="BV112" s="62"/>
      <c r="BW112" s="62"/>
      <c r="BX112" s="62"/>
      <c r="BY112" s="62"/>
      <c r="BZ112" s="62"/>
      <c r="CA112" s="62"/>
      <c r="CB112" s="62"/>
      <c r="CC112" s="62"/>
      <c r="CD112" s="62"/>
      <c r="CE112" s="62"/>
      <c r="CF112" s="62"/>
      <c r="CG112" s="62"/>
    </row>
    <row r="113" spans="1:85" s="4" customFormat="1" ht="64.5" customHeight="1" outlineLevel="1" x14ac:dyDescent="0.25">
      <c r="A113" s="25">
        <f t="shared" si="130"/>
        <v>89</v>
      </c>
      <c r="B113" s="26" t="s">
        <v>256</v>
      </c>
      <c r="C113" s="27" t="s">
        <v>230</v>
      </c>
      <c r="D113" s="28" t="s">
        <v>18</v>
      </c>
      <c r="E113" s="29">
        <f t="shared" si="84"/>
        <v>505.20000000000005</v>
      </c>
      <c r="F113" s="29">
        <f>87.5+31.1</f>
        <v>118.6</v>
      </c>
      <c r="G113" s="30">
        <f t="shared" si="67"/>
        <v>0</v>
      </c>
      <c r="H113" s="30"/>
      <c r="I113" s="30">
        <f t="shared" si="69"/>
        <v>0</v>
      </c>
      <c r="J113" s="31">
        <f>135.7+118.3</f>
        <v>254</v>
      </c>
      <c r="K113" s="30">
        <f t="shared" si="70"/>
        <v>0</v>
      </c>
      <c r="L113" s="30"/>
      <c r="M113" s="30">
        <f t="shared" si="71"/>
        <v>0</v>
      </c>
      <c r="N113" s="29">
        <v>0</v>
      </c>
      <c r="O113" s="30">
        <f t="shared" si="72"/>
        <v>0</v>
      </c>
      <c r="P113" s="30"/>
      <c r="Q113" s="30">
        <f t="shared" si="73"/>
        <v>0</v>
      </c>
      <c r="R113" s="30">
        <v>14.5</v>
      </c>
      <c r="S113" s="30">
        <f t="shared" ref="S113:S115" si="131">T113/1.18</f>
        <v>0</v>
      </c>
      <c r="T113" s="30"/>
      <c r="U113" s="30">
        <f t="shared" si="74"/>
        <v>0</v>
      </c>
      <c r="V113" s="29">
        <f>40.1+23.4+11.8+40.3</f>
        <v>115.6</v>
      </c>
      <c r="W113" s="30">
        <f t="shared" si="75"/>
        <v>0</v>
      </c>
      <c r="X113" s="30"/>
      <c r="Y113" s="30">
        <f t="shared" si="76"/>
        <v>0</v>
      </c>
      <c r="Z113" s="31">
        <v>0</v>
      </c>
      <c r="AA113" s="30">
        <f t="shared" si="77"/>
        <v>0</v>
      </c>
      <c r="AB113" s="30"/>
      <c r="AC113" s="30">
        <f t="shared" si="78"/>
        <v>0</v>
      </c>
      <c r="AD113" s="31">
        <v>2.5</v>
      </c>
      <c r="AE113" s="30">
        <f t="shared" si="79"/>
        <v>0</v>
      </c>
      <c r="AF113" s="30"/>
      <c r="AG113" s="30">
        <f t="shared" si="80"/>
        <v>0</v>
      </c>
      <c r="AH113" s="30">
        <f t="shared" si="99"/>
        <v>0</v>
      </c>
      <c r="AI113" s="30">
        <f t="shared" si="121"/>
        <v>0</v>
      </c>
      <c r="AJ113" s="31">
        <f>60+190</f>
        <v>250</v>
      </c>
      <c r="AK113" s="30" t="s">
        <v>314</v>
      </c>
      <c r="AL113" s="32">
        <v>0</v>
      </c>
      <c r="AM113" s="32">
        <f t="shared" si="104"/>
        <v>0</v>
      </c>
      <c r="AN113" s="32"/>
      <c r="AO113" s="32">
        <f t="shared" si="82"/>
        <v>0</v>
      </c>
      <c r="AP113" s="32">
        <f t="shared" si="81"/>
        <v>0</v>
      </c>
      <c r="AQ113" s="33">
        <f t="shared" si="83"/>
        <v>0</v>
      </c>
      <c r="AR113" s="82">
        <f t="shared" si="83"/>
        <v>0</v>
      </c>
      <c r="AS113" s="9"/>
      <c r="AT113" s="9"/>
      <c r="AU113" s="9"/>
      <c r="AV113" s="9"/>
      <c r="AW113" s="65"/>
      <c r="AX113" s="65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62"/>
      <c r="CD113" s="62"/>
      <c r="CE113" s="62"/>
      <c r="CF113" s="62"/>
      <c r="CG113" s="62"/>
    </row>
    <row r="114" spans="1:85" s="4" customFormat="1" ht="64.5" customHeight="1" outlineLevel="1" x14ac:dyDescent="0.25">
      <c r="A114" s="25">
        <f t="shared" si="130"/>
        <v>90</v>
      </c>
      <c r="B114" s="26" t="s">
        <v>256</v>
      </c>
      <c r="C114" s="27" t="s">
        <v>125</v>
      </c>
      <c r="D114" s="28" t="s">
        <v>18</v>
      </c>
      <c r="E114" s="29">
        <f t="shared" si="84"/>
        <v>718.4</v>
      </c>
      <c r="F114" s="29">
        <v>279.10000000000002</v>
      </c>
      <c r="G114" s="30">
        <f t="shared" si="67"/>
        <v>0</v>
      </c>
      <c r="H114" s="30"/>
      <c r="I114" s="30">
        <f t="shared" si="69"/>
        <v>0</v>
      </c>
      <c r="J114" s="31">
        <v>109.7</v>
      </c>
      <c r="K114" s="30">
        <f t="shared" si="70"/>
        <v>0</v>
      </c>
      <c r="L114" s="30"/>
      <c r="M114" s="30">
        <f t="shared" si="71"/>
        <v>0</v>
      </c>
      <c r="N114" s="29">
        <v>0</v>
      </c>
      <c r="O114" s="30">
        <f t="shared" si="72"/>
        <v>0</v>
      </c>
      <c r="P114" s="30"/>
      <c r="Q114" s="30">
        <f t="shared" si="73"/>
        <v>0</v>
      </c>
      <c r="R114" s="30">
        <v>0</v>
      </c>
      <c r="S114" s="30">
        <f t="shared" si="131"/>
        <v>0</v>
      </c>
      <c r="T114" s="30"/>
      <c r="U114" s="30">
        <f t="shared" si="74"/>
        <v>0</v>
      </c>
      <c r="V114" s="29">
        <v>244.1</v>
      </c>
      <c r="W114" s="30">
        <f t="shared" si="75"/>
        <v>0</v>
      </c>
      <c r="X114" s="30"/>
      <c r="Y114" s="30">
        <f t="shared" si="76"/>
        <v>0</v>
      </c>
      <c r="Z114" s="31">
        <v>60.5</v>
      </c>
      <c r="AA114" s="30">
        <f t="shared" si="77"/>
        <v>0</v>
      </c>
      <c r="AB114" s="30"/>
      <c r="AC114" s="30">
        <f t="shared" si="78"/>
        <v>0</v>
      </c>
      <c r="AD114" s="31">
        <v>25</v>
      </c>
      <c r="AE114" s="30">
        <f t="shared" si="79"/>
        <v>0</v>
      </c>
      <c r="AF114" s="30"/>
      <c r="AG114" s="30">
        <f t="shared" si="80"/>
        <v>0</v>
      </c>
      <c r="AH114" s="30">
        <f t="shared" si="99"/>
        <v>0</v>
      </c>
      <c r="AI114" s="30">
        <f t="shared" si="121"/>
        <v>0</v>
      </c>
      <c r="AJ114" s="31">
        <v>634</v>
      </c>
      <c r="AK114" s="30" t="s">
        <v>314</v>
      </c>
      <c r="AL114" s="32">
        <v>0</v>
      </c>
      <c r="AM114" s="32">
        <f t="shared" si="104"/>
        <v>0</v>
      </c>
      <c r="AN114" s="32"/>
      <c r="AO114" s="32">
        <f t="shared" si="82"/>
        <v>0</v>
      </c>
      <c r="AP114" s="32">
        <f t="shared" si="81"/>
        <v>0</v>
      </c>
      <c r="AQ114" s="33">
        <f t="shared" si="83"/>
        <v>0</v>
      </c>
      <c r="AR114" s="82">
        <f t="shared" si="83"/>
        <v>0</v>
      </c>
      <c r="AS114" s="9"/>
      <c r="AT114" s="9"/>
      <c r="AU114" s="9"/>
      <c r="AV114" s="9"/>
      <c r="AW114" s="65"/>
      <c r="AX114" s="65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  <c r="BZ114" s="62"/>
      <c r="CA114" s="62"/>
      <c r="CB114" s="62"/>
      <c r="CC114" s="62"/>
      <c r="CD114" s="62"/>
      <c r="CE114" s="62"/>
      <c r="CF114" s="62"/>
      <c r="CG114" s="62"/>
    </row>
    <row r="115" spans="1:85" s="4" customFormat="1" ht="75" outlineLevel="1" x14ac:dyDescent="0.25">
      <c r="A115" s="25">
        <f t="shared" si="130"/>
        <v>91</v>
      </c>
      <c r="B115" s="26" t="s">
        <v>256</v>
      </c>
      <c r="C115" s="27" t="s">
        <v>126</v>
      </c>
      <c r="D115" s="28" t="s">
        <v>18</v>
      </c>
      <c r="E115" s="29">
        <f t="shared" si="84"/>
        <v>58.71</v>
      </c>
      <c r="F115" s="29">
        <v>0</v>
      </c>
      <c r="G115" s="30">
        <f t="shared" si="67"/>
        <v>0</v>
      </c>
      <c r="H115" s="30"/>
      <c r="I115" s="30">
        <f t="shared" si="69"/>
        <v>0</v>
      </c>
      <c r="J115" s="31">
        <v>58.71</v>
      </c>
      <c r="K115" s="30">
        <f t="shared" si="70"/>
        <v>0</v>
      </c>
      <c r="L115" s="30"/>
      <c r="M115" s="30">
        <f t="shared" si="71"/>
        <v>0</v>
      </c>
      <c r="N115" s="29">
        <v>0</v>
      </c>
      <c r="O115" s="30">
        <f t="shared" si="72"/>
        <v>0</v>
      </c>
      <c r="P115" s="30"/>
      <c r="Q115" s="30">
        <f t="shared" si="73"/>
        <v>0</v>
      </c>
      <c r="R115" s="30">
        <v>0</v>
      </c>
      <c r="S115" s="30">
        <f t="shared" si="131"/>
        <v>0</v>
      </c>
      <c r="T115" s="30"/>
      <c r="U115" s="30">
        <f t="shared" si="74"/>
        <v>0</v>
      </c>
      <c r="V115" s="29">
        <v>0</v>
      </c>
      <c r="W115" s="30">
        <f t="shared" si="75"/>
        <v>0</v>
      </c>
      <c r="X115" s="30"/>
      <c r="Y115" s="30">
        <f t="shared" si="76"/>
        <v>0</v>
      </c>
      <c r="Z115" s="31">
        <v>0</v>
      </c>
      <c r="AA115" s="30">
        <f t="shared" si="77"/>
        <v>0</v>
      </c>
      <c r="AB115" s="30"/>
      <c r="AC115" s="30">
        <f t="shared" si="78"/>
        <v>0</v>
      </c>
      <c r="AD115" s="31">
        <v>0</v>
      </c>
      <c r="AE115" s="30">
        <f t="shared" si="79"/>
        <v>0</v>
      </c>
      <c r="AF115" s="30"/>
      <c r="AG115" s="30">
        <f t="shared" si="80"/>
        <v>0</v>
      </c>
      <c r="AH115" s="30">
        <f t="shared" si="99"/>
        <v>0</v>
      </c>
      <c r="AI115" s="30">
        <f t="shared" si="121"/>
        <v>0</v>
      </c>
      <c r="AJ115" s="31">
        <v>0</v>
      </c>
      <c r="AK115" s="30" t="s">
        <v>314</v>
      </c>
      <c r="AL115" s="32">
        <v>0</v>
      </c>
      <c r="AM115" s="32">
        <f t="shared" si="104"/>
        <v>0</v>
      </c>
      <c r="AN115" s="32"/>
      <c r="AO115" s="32">
        <f t="shared" si="82"/>
        <v>0</v>
      </c>
      <c r="AP115" s="32">
        <f t="shared" si="81"/>
        <v>0</v>
      </c>
      <c r="AQ115" s="33">
        <f t="shared" si="83"/>
        <v>0</v>
      </c>
      <c r="AR115" s="82">
        <f t="shared" si="83"/>
        <v>0</v>
      </c>
      <c r="AS115" s="9"/>
      <c r="AT115" s="9"/>
      <c r="AU115" s="9"/>
      <c r="AV115" s="9"/>
      <c r="AW115" s="65"/>
      <c r="AX115" s="65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62"/>
      <c r="CD115" s="62"/>
      <c r="CE115" s="62"/>
      <c r="CF115" s="62"/>
      <c r="CG115" s="62"/>
    </row>
    <row r="116" spans="1:85" s="4" customFormat="1" ht="64.5" customHeight="1" outlineLevel="1" x14ac:dyDescent="0.25">
      <c r="A116" s="25">
        <f t="shared" si="130"/>
        <v>92</v>
      </c>
      <c r="B116" s="26" t="s">
        <v>256</v>
      </c>
      <c r="C116" s="27" t="s">
        <v>127</v>
      </c>
      <c r="D116" s="28" t="s">
        <v>18</v>
      </c>
      <c r="E116" s="29">
        <f t="shared" si="84"/>
        <v>674.5</v>
      </c>
      <c r="F116" s="29">
        <v>240.5</v>
      </c>
      <c r="G116" s="30">
        <f t="shared" si="67"/>
        <v>0</v>
      </c>
      <c r="H116" s="30"/>
      <c r="I116" s="30">
        <f t="shared" si="69"/>
        <v>0</v>
      </c>
      <c r="J116" s="31">
        <v>313.89999999999998</v>
      </c>
      <c r="K116" s="30">
        <f t="shared" si="70"/>
        <v>0</v>
      </c>
      <c r="L116" s="30"/>
      <c r="M116" s="30">
        <f t="shared" si="71"/>
        <v>0</v>
      </c>
      <c r="N116" s="29">
        <v>0</v>
      </c>
      <c r="O116" s="30">
        <f t="shared" si="72"/>
        <v>0</v>
      </c>
      <c r="P116" s="30"/>
      <c r="Q116" s="30">
        <f t="shared" si="73"/>
        <v>0</v>
      </c>
      <c r="R116" s="30">
        <v>0</v>
      </c>
      <c r="S116" s="30">
        <v>4.2</v>
      </c>
      <c r="T116" s="30"/>
      <c r="U116" s="30">
        <f t="shared" si="74"/>
        <v>0</v>
      </c>
      <c r="V116" s="29">
        <v>60.1</v>
      </c>
      <c r="W116" s="30">
        <f t="shared" si="75"/>
        <v>0</v>
      </c>
      <c r="X116" s="30"/>
      <c r="Y116" s="30">
        <f t="shared" si="76"/>
        <v>0</v>
      </c>
      <c r="Z116" s="31">
        <v>55.5</v>
      </c>
      <c r="AA116" s="30">
        <f t="shared" si="77"/>
        <v>0</v>
      </c>
      <c r="AB116" s="30"/>
      <c r="AC116" s="30">
        <f t="shared" si="78"/>
        <v>0</v>
      </c>
      <c r="AD116" s="31">
        <v>4.5</v>
      </c>
      <c r="AE116" s="30">
        <f t="shared" si="79"/>
        <v>0</v>
      </c>
      <c r="AF116" s="30"/>
      <c r="AG116" s="30">
        <f t="shared" si="80"/>
        <v>0</v>
      </c>
      <c r="AH116" s="30">
        <f t="shared" si="99"/>
        <v>0</v>
      </c>
      <c r="AI116" s="30">
        <f t="shared" si="121"/>
        <v>0</v>
      </c>
      <c r="AJ116" s="31">
        <v>710</v>
      </c>
      <c r="AK116" s="30" t="s">
        <v>314</v>
      </c>
      <c r="AL116" s="32">
        <v>0</v>
      </c>
      <c r="AM116" s="32">
        <f t="shared" si="104"/>
        <v>0</v>
      </c>
      <c r="AN116" s="32"/>
      <c r="AO116" s="32">
        <f t="shared" si="82"/>
        <v>0</v>
      </c>
      <c r="AP116" s="32">
        <f t="shared" si="81"/>
        <v>0</v>
      </c>
      <c r="AQ116" s="33">
        <f t="shared" si="83"/>
        <v>0</v>
      </c>
      <c r="AR116" s="82">
        <f t="shared" si="83"/>
        <v>0</v>
      </c>
      <c r="AS116" s="9"/>
      <c r="AT116" s="9"/>
      <c r="AU116" s="9"/>
      <c r="AV116" s="9"/>
      <c r="AW116" s="65"/>
      <c r="AX116" s="65"/>
      <c r="AY116" s="62"/>
      <c r="AZ116" s="62"/>
      <c r="BA116" s="62"/>
      <c r="BB116" s="62"/>
      <c r="BC116" s="62"/>
      <c r="BD116" s="62"/>
      <c r="BE116" s="62"/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  <c r="BZ116" s="62"/>
      <c r="CA116" s="62"/>
      <c r="CB116" s="62"/>
      <c r="CC116" s="62"/>
      <c r="CD116" s="62"/>
      <c r="CE116" s="62"/>
      <c r="CF116" s="62"/>
      <c r="CG116" s="62"/>
    </row>
    <row r="117" spans="1:85" s="43" customFormat="1" ht="64.5" customHeight="1" outlineLevel="1" x14ac:dyDescent="0.3">
      <c r="A117" s="143" t="s">
        <v>58</v>
      </c>
      <c r="B117" s="144"/>
      <c r="C117" s="144"/>
      <c r="D117" s="101"/>
      <c r="E117" s="29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  <c r="AD117" s="101"/>
      <c r="AE117" s="101"/>
      <c r="AF117" s="101"/>
      <c r="AG117" s="101"/>
      <c r="AH117" s="30"/>
      <c r="AI117" s="30"/>
      <c r="AJ117" s="101"/>
      <c r="AK117" s="30"/>
      <c r="AL117" s="101"/>
      <c r="AM117" s="101"/>
      <c r="AN117" s="101"/>
      <c r="AO117" s="101"/>
      <c r="AP117" s="101"/>
      <c r="AQ117" s="111"/>
      <c r="AR117" s="127"/>
      <c r="AS117" s="107"/>
      <c r="AT117" s="42"/>
      <c r="AU117" s="42"/>
      <c r="AV117" s="42"/>
      <c r="AW117" s="42"/>
      <c r="AX117" s="42"/>
    </row>
    <row r="118" spans="1:85" s="47" customFormat="1" ht="64.5" customHeight="1" outlineLevel="1" x14ac:dyDescent="0.3">
      <c r="A118" s="141" t="s">
        <v>128</v>
      </c>
      <c r="B118" s="142"/>
      <c r="C118" s="142"/>
      <c r="D118" s="105"/>
      <c r="E118" s="29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5"/>
      <c r="AG118" s="105"/>
      <c r="AH118" s="30"/>
      <c r="AI118" s="30"/>
      <c r="AJ118" s="105"/>
      <c r="AK118" s="30"/>
      <c r="AL118" s="105"/>
      <c r="AM118" s="105"/>
      <c r="AN118" s="105"/>
      <c r="AO118" s="105"/>
      <c r="AP118" s="105"/>
      <c r="AQ118" s="121"/>
      <c r="AR118" s="126"/>
      <c r="AS118" s="46"/>
      <c r="AT118" s="46"/>
      <c r="AU118" s="46"/>
      <c r="AV118" s="46"/>
      <c r="AW118" s="46"/>
      <c r="AX118" s="46"/>
    </row>
    <row r="119" spans="1:85" s="4" customFormat="1" ht="75" outlineLevel="1" x14ac:dyDescent="0.25">
      <c r="A119" s="25">
        <f>A116+1</f>
        <v>93</v>
      </c>
      <c r="B119" s="26" t="s">
        <v>257</v>
      </c>
      <c r="C119" s="27" t="s">
        <v>129</v>
      </c>
      <c r="D119" s="28" t="s">
        <v>18</v>
      </c>
      <c r="E119" s="29">
        <f t="shared" si="84"/>
        <v>917.53</v>
      </c>
      <c r="F119" s="29">
        <v>405.9</v>
      </c>
      <c r="G119" s="30">
        <f t="shared" si="67"/>
        <v>0</v>
      </c>
      <c r="H119" s="30"/>
      <c r="I119" s="30">
        <f t="shared" si="69"/>
        <v>0</v>
      </c>
      <c r="J119" s="31">
        <v>141.1</v>
      </c>
      <c r="K119" s="30">
        <f t="shared" si="70"/>
        <v>0</v>
      </c>
      <c r="L119" s="30"/>
      <c r="M119" s="30">
        <f t="shared" si="71"/>
        <v>0</v>
      </c>
      <c r="N119" s="29">
        <v>29.81</v>
      </c>
      <c r="O119" s="30">
        <f t="shared" si="72"/>
        <v>0</v>
      </c>
      <c r="P119" s="30"/>
      <c r="Q119" s="30">
        <f t="shared" si="73"/>
        <v>0</v>
      </c>
      <c r="R119" s="30">
        <v>32.4</v>
      </c>
      <c r="S119" s="30">
        <f t="shared" ref="S119" si="132">T119/1.18</f>
        <v>0</v>
      </c>
      <c r="T119" s="30"/>
      <c r="U119" s="30">
        <f t="shared" si="74"/>
        <v>0</v>
      </c>
      <c r="V119" s="29">
        <f>201.22+18.8</f>
        <v>220.02</v>
      </c>
      <c r="W119" s="30">
        <f t="shared" si="75"/>
        <v>0</v>
      </c>
      <c r="X119" s="30"/>
      <c r="Y119" s="30">
        <f t="shared" si="76"/>
        <v>0</v>
      </c>
      <c r="Z119" s="31">
        <v>77.2</v>
      </c>
      <c r="AA119" s="30">
        <f t="shared" si="77"/>
        <v>0</v>
      </c>
      <c r="AB119" s="30"/>
      <c r="AC119" s="30">
        <f t="shared" si="78"/>
        <v>0</v>
      </c>
      <c r="AD119" s="31">
        <v>11.1</v>
      </c>
      <c r="AE119" s="30">
        <f t="shared" si="79"/>
        <v>0</v>
      </c>
      <c r="AF119" s="30"/>
      <c r="AG119" s="30">
        <f t="shared" si="80"/>
        <v>0</v>
      </c>
      <c r="AH119" s="30">
        <f t="shared" si="99"/>
        <v>0</v>
      </c>
      <c r="AI119" s="30">
        <f t="shared" si="121"/>
        <v>0</v>
      </c>
      <c r="AJ119" s="31">
        <v>425</v>
      </c>
      <c r="AK119" s="30" t="s">
        <v>314</v>
      </c>
      <c r="AL119" s="32">
        <v>0</v>
      </c>
      <c r="AM119" s="32">
        <f t="shared" si="104"/>
        <v>0</v>
      </c>
      <c r="AN119" s="32"/>
      <c r="AO119" s="32">
        <f t="shared" si="82"/>
        <v>0</v>
      </c>
      <c r="AP119" s="32">
        <f t="shared" si="81"/>
        <v>0</v>
      </c>
      <c r="AQ119" s="33">
        <f t="shared" si="83"/>
        <v>0</v>
      </c>
      <c r="AR119" s="82">
        <f t="shared" si="83"/>
        <v>0</v>
      </c>
      <c r="AS119" s="9"/>
      <c r="AT119" s="9"/>
      <c r="AU119" s="9"/>
      <c r="AV119" s="9"/>
      <c r="AW119" s="65"/>
      <c r="AX119" s="65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  <c r="BZ119" s="62"/>
      <c r="CA119" s="62"/>
      <c r="CB119" s="62"/>
      <c r="CC119" s="62"/>
      <c r="CD119" s="62"/>
      <c r="CE119" s="62"/>
      <c r="CF119" s="62"/>
      <c r="CG119" s="62"/>
    </row>
    <row r="120" spans="1:85" s="4" customFormat="1" ht="77.25" customHeight="1" outlineLevel="1" x14ac:dyDescent="0.25">
      <c r="A120" s="25">
        <f>A119+1</f>
        <v>94</v>
      </c>
      <c r="B120" s="26" t="s">
        <v>257</v>
      </c>
      <c r="C120" s="27" t="s">
        <v>130</v>
      </c>
      <c r="D120" s="28" t="s">
        <v>18</v>
      </c>
      <c r="E120" s="29">
        <f t="shared" si="84"/>
        <v>171.09999999999997</v>
      </c>
      <c r="F120" s="29">
        <f>64.3</f>
        <v>64.3</v>
      </c>
      <c r="G120" s="30">
        <f t="shared" si="67"/>
        <v>0</v>
      </c>
      <c r="H120" s="30"/>
      <c r="I120" s="30">
        <f t="shared" si="69"/>
        <v>0</v>
      </c>
      <c r="J120" s="31">
        <v>14.1</v>
      </c>
      <c r="K120" s="30">
        <f t="shared" si="70"/>
        <v>0</v>
      </c>
      <c r="L120" s="30"/>
      <c r="M120" s="30">
        <f t="shared" si="71"/>
        <v>0</v>
      </c>
      <c r="N120" s="29">
        <v>0</v>
      </c>
      <c r="O120" s="30">
        <f t="shared" si="72"/>
        <v>0</v>
      </c>
      <c r="P120" s="30"/>
      <c r="Q120" s="30">
        <f t="shared" si="73"/>
        <v>0</v>
      </c>
      <c r="R120" s="30">
        <v>2.5</v>
      </c>
      <c r="S120" s="30">
        <v>4.2</v>
      </c>
      <c r="T120" s="30"/>
      <c r="U120" s="30">
        <f t="shared" si="74"/>
        <v>0</v>
      </c>
      <c r="V120" s="29">
        <f>38.9+27.7+23.6</f>
        <v>90.199999999999989</v>
      </c>
      <c r="W120" s="30">
        <f t="shared" si="75"/>
        <v>0</v>
      </c>
      <c r="X120" s="30"/>
      <c r="Y120" s="30">
        <f t="shared" si="76"/>
        <v>0</v>
      </c>
      <c r="Z120" s="31">
        <v>0</v>
      </c>
      <c r="AA120" s="30">
        <f t="shared" si="77"/>
        <v>0</v>
      </c>
      <c r="AB120" s="30"/>
      <c r="AC120" s="30">
        <f t="shared" si="78"/>
        <v>0</v>
      </c>
      <c r="AD120" s="31">
        <v>0</v>
      </c>
      <c r="AE120" s="30">
        <f t="shared" si="79"/>
        <v>0</v>
      </c>
      <c r="AF120" s="30"/>
      <c r="AG120" s="30">
        <f t="shared" si="80"/>
        <v>0</v>
      </c>
      <c r="AH120" s="30">
        <f t="shared" si="99"/>
        <v>0</v>
      </c>
      <c r="AI120" s="30">
        <f t="shared" si="121"/>
        <v>0</v>
      </c>
      <c r="AJ120" s="31">
        <v>75</v>
      </c>
      <c r="AK120" s="30" t="s">
        <v>314</v>
      </c>
      <c r="AL120" s="32">
        <v>0</v>
      </c>
      <c r="AM120" s="32">
        <f t="shared" si="104"/>
        <v>0</v>
      </c>
      <c r="AN120" s="32"/>
      <c r="AO120" s="32">
        <f t="shared" si="82"/>
        <v>0</v>
      </c>
      <c r="AP120" s="32">
        <f t="shared" si="81"/>
        <v>0</v>
      </c>
      <c r="AQ120" s="33">
        <f t="shared" si="83"/>
        <v>0</v>
      </c>
      <c r="AR120" s="82">
        <f t="shared" si="83"/>
        <v>0</v>
      </c>
      <c r="AS120" s="9"/>
      <c r="AT120" s="9"/>
      <c r="AU120" s="9"/>
      <c r="AV120" s="9"/>
      <c r="AW120" s="65"/>
      <c r="AX120" s="65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62"/>
      <c r="CG120" s="62"/>
    </row>
    <row r="121" spans="1:85" s="4" customFormat="1" ht="64.5" customHeight="1" outlineLevel="1" x14ac:dyDescent="0.25">
      <c r="A121" s="25">
        <f t="shared" ref="A121:A125" si="133">A120+1</f>
        <v>95</v>
      </c>
      <c r="B121" s="26" t="s">
        <v>257</v>
      </c>
      <c r="C121" s="27" t="s">
        <v>131</v>
      </c>
      <c r="D121" s="28" t="s">
        <v>18</v>
      </c>
      <c r="E121" s="29">
        <f t="shared" si="84"/>
        <v>239.5</v>
      </c>
      <c r="F121" s="29">
        <v>15.6</v>
      </c>
      <c r="G121" s="30">
        <f t="shared" si="67"/>
        <v>0</v>
      </c>
      <c r="H121" s="30"/>
      <c r="I121" s="30">
        <f t="shared" si="69"/>
        <v>0</v>
      </c>
      <c r="J121" s="31">
        <v>77.900000000000006</v>
      </c>
      <c r="K121" s="30">
        <f t="shared" si="70"/>
        <v>0</v>
      </c>
      <c r="L121" s="30"/>
      <c r="M121" s="30">
        <f t="shared" si="71"/>
        <v>0</v>
      </c>
      <c r="N121" s="29">
        <v>57.7</v>
      </c>
      <c r="O121" s="30">
        <f t="shared" si="72"/>
        <v>0</v>
      </c>
      <c r="P121" s="30"/>
      <c r="Q121" s="30">
        <f t="shared" si="73"/>
        <v>0</v>
      </c>
      <c r="R121" s="30">
        <v>0</v>
      </c>
      <c r="S121" s="30">
        <f t="shared" ref="S121:S123" si="134">T121/1.18</f>
        <v>0</v>
      </c>
      <c r="T121" s="30"/>
      <c r="U121" s="30">
        <f t="shared" si="74"/>
        <v>0</v>
      </c>
      <c r="V121" s="29">
        <v>86.5</v>
      </c>
      <c r="W121" s="30">
        <f t="shared" si="75"/>
        <v>0</v>
      </c>
      <c r="X121" s="30"/>
      <c r="Y121" s="30">
        <f t="shared" si="76"/>
        <v>0</v>
      </c>
      <c r="Z121" s="31">
        <v>0</v>
      </c>
      <c r="AA121" s="30">
        <f t="shared" si="77"/>
        <v>0</v>
      </c>
      <c r="AB121" s="30"/>
      <c r="AC121" s="30">
        <f t="shared" si="78"/>
        <v>0</v>
      </c>
      <c r="AD121" s="31">
        <v>1.8</v>
      </c>
      <c r="AE121" s="30">
        <f t="shared" si="79"/>
        <v>0</v>
      </c>
      <c r="AF121" s="30"/>
      <c r="AG121" s="30">
        <f t="shared" si="80"/>
        <v>0</v>
      </c>
      <c r="AH121" s="30">
        <f t="shared" si="99"/>
        <v>0</v>
      </c>
      <c r="AI121" s="30">
        <f t="shared" si="121"/>
        <v>0</v>
      </c>
      <c r="AJ121" s="31">
        <v>200</v>
      </c>
      <c r="AK121" s="30" t="s">
        <v>314</v>
      </c>
      <c r="AL121" s="32">
        <v>0</v>
      </c>
      <c r="AM121" s="32">
        <f t="shared" si="104"/>
        <v>0</v>
      </c>
      <c r="AN121" s="32"/>
      <c r="AO121" s="32">
        <f t="shared" si="82"/>
        <v>0</v>
      </c>
      <c r="AP121" s="32">
        <f t="shared" si="81"/>
        <v>0</v>
      </c>
      <c r="AQ121" s="33">
        <f t="shared" si="83"/>
        <v>0</v>
      </c>
      <c r="AR121" s="82">
        <f t="shared" si="83"/>
        <v>0</v>
      </c>
      <c r="AS121" s="9"/>
      <c r="AT121" s="9"/>
      <c r="AU121" s="9"/>
      <c r="AV121" s="9"/>
      <c r="AW121" s="65"/>
      <c r="AX121" s="65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</row>
    <row r="122" spans="1:85" s="4" customFormat="1" ht="75" outlineLevel="1" x14ac:dyDescent="0.25">
      <c r="A122" s="25">
        <f t="shared" si="133"/>
        <v>96</v>
      </c>
      <c r="B122" s="26" t="s">
        <v>256</v>
      </c>
      <c r="C122" s="27" t="s">
        <v>132</v>
      </c>
      <c r="D122" s="28" t="s">
        <v>18</v>
      </c>
      <c r="E122" s="29">
        <f t="shared" si="84"/>
        <v>831.15000000000009</v>
      </c>
      <c r="F122" s="29">
        <v>286.8</v>
      </c>
      <c r="G122" s="30">
        <f t="shared" si="67"/>
        <v>0</v>
      </c>
      <c r="H122" s="30"/>
      <c r="I122" s="30">
        <f t="shared" si="69"/>
        <v>0</v>
      </c>
      <c r="J122" s="31">
        <v>298.60000000000002</v>
      </c>
      <c r="K122" s="30">
        <f t="shared" si="70"/>
        <v>0</v>
      </c>
      <c r="L122" s="30"/>
      <c r="M122" s="30">
        <f t="shared" si="71"/>
        <v>0</v>
      </c>
      <c r="N122" s="29">
        <v>0</v>
      </c>
      <c r="O122" s="30">
        <f t="shared" si="72"/>
        <v>0</v>
      </c>
      <c r="P122" s="30"/>
      <c r="Q122" s="30">
        <f t="shared" si="73"/>
        <v>0</v>
      </c>
      <c r="R122" s="30">
        <v>22.9</v>
      </c>
      <c r="S122" s="30">
        <f t="shared" si="134"/>
        <v>0</v>
      </c>
      <c r="T122" s="30"/>
      <c r="U122" s="30">
        <f t="shared" si="74"/>
        <v>0</v>
      </c>
      <c r="V122" s="29">
        <v>201.65</v>
      </c>
      <c r="W122" s="30">
        <f t="shared" si="75"/>
        <v>0</v>
      </c>
      <c r="X122" s="30"/>
      <c r="Y122" s="30">
        <f t="shared" si="76"/>
        <v>0</v>
      </c>
      <c r="Z122" s="31">
        <v>0</v>
      </c>
      <c r="AA122" s="30">
        <f t="shared" si="77"/>
        <v>0</v>
      </c>
      <c r="AB122" s="30"/>
      <c r="AC122" s="30">
        <f t="shared" si="78"/>
        <v>0</v>
      </c>
      <c r="AD122" s="31">
        <v>21.2</v>
      </c>
      <c r="AE122" s="30">
        <f t="shared" si="79"/>
        <v>0</v>
      </c>
      <c r="AF122" s="30"/>
      <c r="AG122" s="30">
        <f t="shared" si="80"/>
        <v>0</v>
      </c>
      <c r="AH122" s="30">
        <f t="shared" si="99"/>
        <v>0</v>
      </c>
      <c r="AI122" s="30">
        <f t="shared" si="121"/>
        <v>0</v>
      </c>
      <c r="AJ122" s="31">
        <f>125+125</f>
        <v>250</v>
      </c>
      <c r="AK122" s="30" t="s">
        <v>314</v>
      </c>
      <c r="AL122" s="32">
        <v>0</v>
      </c>
      <c r="AM122" s="32">
        <f t="shared" si="104"/>
        <v>0</v>
      </c>
      <c r="AN122" s="32"/>
      <c r="AO122" s="32">
        <f t="shared" si="82"/>
        <v>0</v>
      </c>
      <c r="AP122" s="32">
        <f t="shared" si="81"/>
        <v>0</v>
      </c>
      <c r="AQ122" s="33">
        <f t="shared" si="83"/>
        <v>0</v>
      </c>
      <c r="AR122" s="82">
        <f t="shared" si="83"/>
        <v>0</v>
      </c>
      <c r="AS122" s="9"/>
      <c r="AT122" s="9"/>
      <c r="AU122" s="9"/>
      <c r="AV122" s="9"/>
      <c r="AW122" s="65"/>
      <c r="AX122" s="65"/>
      <c r="AY122" s="62"/>
      <c r="AZ122" s="62"/>
      <c r="BA122" s="62"/>
      <c r="BB122" s="62"/>
      <c r="BC122" s="62"/>
      <c r="BD122" s="62"/>
      <c r="BE122" s="62"/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2"/>
      <c r="BY122" s="62"/>
      <c r="BZ122" s="62"/>
      <c r="CA122" s="62"/>
      <c r="CB122" s="62"/>
      <c r="CC122" s="62"/>
      <c r="CD122" s="62"/>
      <c r="CE122" s="62"/>
      <c r="CF122" s="62"/>
      <c r="CG122" s="62"/>
    </row>
    <row r="123" spans="1:85" s="4" customFormat="1" ht="64.5" customHeight="1" outlineLevel="1" x14ac:dyDescent="0.25">
      <c r="A123" s="25">
        <f t="shared" si="133"/>
        <v>97</v>
      </c>
      <c r="B123" s="26" t="s">
        <v>256</v>
      </c>
      <c r="C123" s="27" t="s">
        <v>133</v>
      </c>
      <c r="D123" s="28" t="s">
        <v>18</v>
      </c>
      <c r="E123" s="29">
        <f t="shared" si="84"/>
        <v>570.1099999999999</v>
      </c>
      <c r="F123" s="29">
        <v>181.6</v>
      </c>
      <c r="G123" s="30">
        <f t="shared" si="67"/>
        <v>0</v>
      </c>
      <c r="H123" s="30"/>
      <c r="I123" s="30">
        <f t="shared" si="69"/>
        <v>0</v>
      </c>
      <c r="J123" s="31">
        <v>146.9</v>
      </c>
      <c r="K123" s="30">
        <f t="shared" si="70"/>
        <v>0</v>
      </c>
      <c r="L123" s="30"/>
      <c r="M123" s="30">
        <f t="shared" si="71"/>
        <v>0</v>
      </c>
      <c r="N123" s="29">
        <v>54.4</v>
      </c>
      <c r="O123" s="30">
        <f t="shared" si="72"/>
        <v>0</v>
      </c>
      <c r="P123" s="30"/>
      <c r="Q123" s="30">
        <f t="shared" si="73"/>
        <v>0</v>
      </c>
      <c r="R123" s="30">
        <f>10.7</f>
        <v>10.7</v>
      </c>
      <c r="S123" s="30">
        <f t="shared" si="134"/>
        <v>0</v>
      </c>
      <c r="T123" s="30"/>
      <c r="U123" s="30">
        <f t="shared" si="74"/>
        <v>0</v>
      </c>
      <c r="V123" s="29">
        <v>159.51</v>
      </c>
      <c r="W123" s="30">
        <f t="shared" si="75"/>
        <v>0</v>
      </c>
      <c r="X123" s="30"/>
      <c r="Y123" s="30">
        <f t="shared" si="76"/>
        <v>0</v>
      </c>
      <c r="Z123" s="31">
        <v>0</v>
      </c>
      <c r="AA123" s="30">
        <f t="shared" si="77"/>
        <v>0</v>
      </c>
      <c r="AB123" s="30"/>
      <c r="AC123" s="30">
        <f t="shared" si="78"/>
        <v>0</v>
      </c>
      <c r="AD123" s="31">
        <v>17</v>
      </c>
      <c r="AE123" s="30">
        <f t="shared" si="79"/>
        <v>0</v>
      </c>
      <c r="AF123" s="30"/>
      <c r="AG123" s="30">
        <f t="shared" si="80"/>
        <v>0</v>
      </c>
      <c r="AH123" s="30">
        <f t="shared" si="99"/>
        <v>0</v>
      </c>
      <c r="AI123" s="30">
        <f t="shared" si="121"/>
        <v>0</v>
      </c>
      <c r="AJ123" s="31">
        <f>375+500</f>
        <v>875</v>
      </c>
      <c r="AK123" s="30" t="s">
        <v>314</v>
      </c>
      <c r="AL123" s="32">
        <v>0</v>
      </c>
      <c r="AM123" s="32">
        <f t="shared" si="104"/>
        <v>0</v>
      </c>
      <c r="AN123" s="32"/>
      <c r="AO123" s="32">
        <f t="shared" si="82"/>
        <v>0</v>
      </c>
      <c r="AP123" s="32">
        <f t="shared" si="81"/>
        <v>0</v>
      </c>
      <c r="AQ123" s="33">
        <f t="shared" si="83"/>
        <v>0</v>
      </c>
      <c r="AR123" s="82">
        <f t="shared" si="83"/>
        <v>0</v>
      </c>
      <c r="AS123" s="9"/>
      <c r="AT123" s="9"/>
      <c r="AU123" s="9"/>
      <c r="AV123" s="9"/>
      <c r="AW123" s="65"/>
      <c r="AX123" s="65"/>
      <c r="AY123" s="62"/>
      <c r="AZ123" s="62"/>
      <c r="BA123" s="62"/>
      <c r="BB123" s="62"/>
      <c r="BC123" s="62"/>
      <c r="BD123" s="62"/>
      <c r="BE123" s="62"/>
      <c r="BF123" s="62"/>
      <c r="BG123" s="62"/>
      <c r="BH123" s="62"/>
      <c r="BI123" s="62"/>
      <c r="BJ123" s="62"/>
      <c r="BK123" s="62"/>
      <c r="BL123" s="62"/>
      <c r="BM123" s="62"/>
      <c r="BN123" s="62"/>
      <c r="BO123" s="62"/>
      <c r="BP123" s="62"/>
      <c r="BQ123" s="62"/>
      <c r="BR123" s="62"/>
      <c r="BS123" s="62"/>
      <c r="BT123" s="62"/>
      <c r="BU123" s="62"/>
      <c r="BV123" s="62"/>
      <c r="BW123" s="62"/>
      <c r="BX123" s="62"/>
      <c r="BY123" s="62"/>
      <c r="BZ123" s="62"/>
      <c r="CA123" s="62"/>
      <c r="CB123" s="62"/>
      <c r="CC123" s="62"/>
      <c r="CD123" s="62"/>
      <c r="CE123" s="62"/>
      <c r="CF123" s="62"/>
      <c r="CG123" s="62"/>
    </row>
    <row r="124" spans="1:85" s="4" customFormat="1" ht="64.5" customHeight="1" outlineLevel="1" x14ac:dyDescent="0.25">
      <c r="A124" s="25">
        <f t="shared" si="133"/>
        <v>98</v>
      </c>
      <c r="B124" s="26" t="s">
        <v>256</v>
      </c>
      <c r="C124" s="27" t="s">
        <v>134</v>
      </c>
      <c r="D124" s="28" t="s">
        <v>18</v>
      </c>
      <c r="E124" s="29">
        <f t="shared" si="84"/>
        <v>740.1</v>
      </c>
      <c r="F124" s="29">
        <v>334</v>
      </c>
      <c r="G124" s="30">
        <f t="shared" si="67"/>
        <v>0</v>
      </c>
      <c r="H124" s="30"/>
      <c r="I124" s="30">
        <f t="shared" si="69"/>
        <v>0</v>
      </c>
      <c r="J124" s="31">
        <v>169.4</v>
      </c>
      <c r="K124" s="30">
        <f t="shared" si="70"/>
        <v>0</v>
      </c>
      <c r="L124" s="30"/>
      <c r="M124" s="30">
        <f t="shared" si="71"/>
        <v>0</v>
      </c>
      <c r="N124" s="29">
        <v>35.9</v>
      </c>
      <c r="O124" s="30">
        <f t="shared" si="72"/>
        <v>0</v>
      </c>
      <c r="P124" s="30"/>
      <c r="Q124" s="30">
        <f t="shared" si="73"/>
        <v>0</v>
      </c>
      <c r="R124" s="30">
        <v>26.1</v>
      </c>
      <c r="S124" s="30">
        <v>4.2</v>
      </c>
      <c r="T124" s="30"/>
      <c r="U124" s="30">
        <f t="shared" si="74"/>
        <v>0</v>
      </c>
      <c r="V124" s="29">
        <v>162.6</v>
      </c>
      <c r="W124" s="30">
        <f t="shared" si="75"/>
        <v>0</v>
      </c>
      <c r="X124" s="30"/>
      <c r="Y124" s="30">
        <f t="shared" si="76"/>
        <v>0</v>
      </c>
      <c r="Z124" s="31">
        <v>0</v>
      </c>
      <c r="AA124" s="30">
        <f t="shared" si="77"/>
        <v>0</v>
      </c>
      <c r="AB124" s="30"/>
      <c r="AC124" s="30">
        <f t="shared" si="78"/>
        <v>0</v>
      </c>
      <c r="AD124" s="31">
        <v>12.1</v>
      </c>
      <c r="AE124" s="30">
        <f t="shared" si="79"/>
        <v>0</v>
      </c>
      <c r="AF124" s="30"/>
      <c r="AG124" s="30">
        <f t="shared" si="80"/>
        <v>0</v>
      </c>
      <c r="AH124" s="30">
        <f t="shared" si="99"/>
        <v>0</v>
      </c>
      <c r="AI124" s="30">
        <f t="shared" si="121"/>
        <v>0</v>
      </c>
      <c r="AJ124" s="31">
        <f>300+200</f>
        <v>500</v>
      </c>
      <c r="AK124" s="30" t="s">
        <v>314</v>
      </c>
      <c r="AL124" s="32">
        <v>0</v>
      </c>
      <c r="AM124" s="32">
        <f t="shared" si="104"/>
        <v>0</v>
      </c>
      <c r="AN124" s="32"/>
      <c r="AO124" s="32">
        <f t="shared" si="82"/>
        <v>0</v>
      </c>
      <c r="AP124" s="32">
        <f t="shared" si="81"/>
        <v>0</v>
      </c>
      <c r="AQ124" s="33">
        <f t="shared" si="83"/>
        <v>0</v>
      </c>
      <c r="AR124" s="82">
        <f t="shared" si="83"/>
        <v>0</v>
      </c>
      <c r="AS124" s="9"/>
      <c r="AT124" s="9"/>
      <c r="AU124" s="9"/>
      <c r="AV124" s="9"/>
      <c r="AW124" s="65"/>
      <c r="AX124" s="65"/>
      <c r="AY124" s="62"/>
      <c r="AZ124" s="62"/>
      <c r="BA124" s="62"/>
      <c r="BB124" s="62"/>
      <c r="BC124" s="62"/>
      <c r="BD124" s="62"/>
      <c r="BE124" s="62"/>
      <c r="BF124" s="62"/>
      <c r="BG124" s="62"/>
      <c r="BH124" s="62"/>
      <c r="BI124" s="62"/>
      <c r="BJ124" s="62"/>
      <c r="BK124" s="62"/>
      <c r="BL124" s="62"/>
      <c r="BM124" s="62"/>
      <c r="BN124" s="62"/>
      <c r="BO124" s="62"/>
      <c r="BP124" s="62"/>
      <c r="BQ124" s="62"/>
      <c r="BR124" s="62"/>
      <c r="BS124" s="62"/>
      <c r="BT124" s="62"/>
      <c r="BU124" s="62"/>
      <c r="BV124" s="62"/>
      <c r="BW124" s="62"/>
      <c r="BX124" s="62"/>
      <c r="BY124" s="62"/>
      <c r="BZ124" s="62"/>
      <c r="CA124" s="62"/>
      <c r="CB124" s="62"/>
      <c r="CC124" s="62"/>
      <c r="CD124" s="62"/>
      <c r="CE124" s="62"/>
      <c r="CF124" s="62"/>
      <c r="CG124" s="62"/>
    </row>
    <row r="125" spans="1:85" s="4" customFormat="1" ht="75" outlineLevel="1" x14ac:dyDescent="0.25">
      <c r="A125" s="25">
        <f t="shared" si="133"/>
        <v>99</v>
      </c>
      <c r="B125" s="26" t="s">
        <v>256</v>
      </c>
      <c r="C125" s="27" t="s">
        <v>135</v>
      </c>
      <c r="D125" s="28" t="s">
        <v>18</v>
      </c>
      <c r="E125" s="29">
        <f t="shared" si="84"/>
        <v>665.6</v>
      </c>
      <c r="F125" s="29">
        <v>195.5</v>
      </c>
      <c r="G125" s="30">
        <f t="shared" si="67"/>
        <v>0</v>
      </c>
      <c r="H125" s="30"/>
      <c r="I125" s="30">
        <f t="shared" si="69"/>
        <v>0</v>
      </c>
      <c r="J125" s="31">
        <v>130.5</v>
      </c>
      <c r="K125" s="30">
        <f t="shared" si="70"/>
        <v>0</v>
      </c>
      <c r="L125" s="30"/>
      <c r="M125" s="30">
        <f t="shared" si="71"/>
        <v>0</v>
      </c>
      <c r="N125" s="29">
        <v>42</v>
      </c>
      <c r="O125" s="30">
        <f t="shared" si="72"/>
        <v>0</v>
      </c>
      <c r="P125" s="30"/>
      <c r="Q125" s="30">
        <f t="shared" si="73"/>
        <v>0</v>
      </c>
      <c r="R125" s="30">
        <v>22.8</v>
      </c>
      <c r="S125" s="30">
        <f t="shared" ref="S125:S127" si="135">T125/1.18</f>
        <v>0</v>
      </c>
      <c r="T125" s="30"/>
      <c r="U125" s="30">
        <f t="shared" si="74"/>
        <v>0</v>
      </c>
      <c r="V125" s="29">
        <v>237.2</v>
      </c>
      <c r="W125" s="30">
        <f t="shared" si="75"/>
        <v>0</v>
      </c>
      <c r="X125" s="30"/>
      <c r="Y125" s="30">
        <f t="shared" si="76"/>
        <v>0</v>
      </c>
      <c r="Z125" s="31">
        <v>0</v>
      </c>
      <c r="AA125" s="30">
        <f t="shared" si="77"/>
        <v>0</v>
      </c>
      <c r="AB125" s="30"/>
      <c r="AC125" s="30">
        <f t="shared" si="78"/>
        <v>0</v>
      </c>
      <c r="AD125" s="31">
        <v>37.6</v>
      </c>
      <c r="AE125" s="30">
        <f t="shared" si="79"/>
        <v>0</v>
      </c>
      <c r="AF125" s="30"/>
      <c r="AG125" s="30">
        <f t="shared" si="80"/>
        <v>0</v>
      </c>
      <c r="AH125" s="30">
        <f t="shared" si="99"/>
        <v>0</v>
      </c>
      <c r="AI125" s="30">
        <f t="shared" si="121"/>
        <v>0</v>
      </c>
      <c r="AJ125" s="31">
        <v>200</v>
      </c>
      <c r="AK125" s="30" t="s">
        <v>314</v>
      </c>
      <c r="AL125" s="32">
        <v>0</v>
      </c>
      <c r="AM125" s="32">
        <f t="shared" si="104"/>
        <v>0</v>
      </c>
      <c r="AN125" s="32"/>
      <c r="AO125" s="32">
        <f t="shared" si="82"/>
        <v>0</v>
      </c>
      <c r="AP125" s="32">
        <f t="shared" si="81"/>
        <v>0</v>
      </c>
      <c r="AQ125" s="33">
        <f t="shared" si="83"/>
        <v>0</v>
      </c>
      <c r="AR125" s="82">
        <f t="shared" si="83"/>
        <v>0</v>
      </c>
      <c r="AS125" s="9"/>
      <c r="AT125" s="9"/>
      <c r="AU125" s="9"/>
      <c r="AV125" s="9"/>
      <c r="AW125" s="65"/>
      <c r="AX125" s="65"/>
      <c r="AY125" s="62"/>
      <c r="AZ125" s="62"/>
      <c r="BA125" s="62"/>
      <c r="BB125" s="62"/>
      <c r="BC125" s="62"/>
      <c r="BD125" s="62"/>
      <c r="BE125" s="62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62"/>
      <c r="BR125" s="62"/>
      <c r="BS125" s="62"/>
      <c r="BT125" s="62"/>
      <c r="BU125" s="62"/>
      <c r="BV125" s="62"/>
      <c r="BW125" s="62"/>
      <c r="BX125" s="62"/>
      <c r="BY125" s="62"/>
      <c r="BZ125" s="62"/>
      <c r="CA125" s="62"/>
      <c r="CB125" s="62"/>
      <c r="CC125" s="62"/>
      <c r="CD125" s="62"/>
      <c r="CE125" s="62"/>
      <c r="CF125" s="62"/>
      <c r="CG125" s="62"/>
    </row>
    <row r="126" spans="1:85" s="43" customFormat="1" ht="64.5" customHeight="1" outlineLevel="1" x14ac:dyDescent="0.3">
      <c r="A126" s="143" t="s">
        <v>59</v>
      </c>
      <c r="B126" s="144"/>
      <c r="C126" s="144"/>
      <c r="D126" s="101"/>
      <c r="E126" s="29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  <c r="AF126" s="101"/>
      <c r="AG126" s="101"/>
      <c r="AH126" s="30"/>
      <c r="AI126" s="30"/>
      <c r="AJ126" s="101"/>
      <c r="AK126" s="30"/>
      <c r="AL126" s="101"/>
      <c r="AM126" s="101"/>
      <c r="AN126" s="101"/>
      <c r="AO126" s="101"/>
      <c r="AP126" s="101"/>
      <c r="AQ126" s="111"/>
      <c r="AR126" s="126"/>
      <c r="AS126" s="42"/>
      <c r="AT126" s="42"/>
      <c r="AU126" s="42"/>
      <c r="AV126" s="42"/>
      <c r="AW126" s="42"/>
      <c r="AX126" s="42"/>
    </row>
    <row r="127" spans="1:85" s="4" customFormat="1" ht="64.5" customHeight="1" outlineLevel="1" x14ac:dyDescent="0.25">
      <c r="A127" s="25">
        <f>A125+1</f>
        <v>100</v>
      </c>
      <c r="B127" s="26" t="s">
        <v>256</v>
      </c>
      <c r="C127" s="27" t="s">
        <v>136</v>
      </c>
      <c r="D127" s="28" t="s">
        <v>18</v>
      </c>
      <c r="E127" s="29">
        <f t="shared" si="84"/>
        <v>849</v>
      </c>
      <c r="F127" s="29">
        <v>215.8</v>
      </c>
      <c r="G127" s="30">
        <f t="shared" si="67"/>
        <v>0</v>
      </c>
      <c r="H127" s="30"/>
      <c r="I127" s="30">
        <f t="shared" si="69"/>
        <v>0</v>
      </c>
      <c r="J127" s="31">
        <v>235.4</v>
      </c>
      <c r="K127" s="30">
        <f t="shared" si="70"/>
        <v>0</v>
      </c>
      <c r="L127" s="30"/>
      <c r="M127" s="30">
        <f t="shared" si="71"/>
        <v>0</v>
      </c>
      <c r="N127" s="29">
        <v>72.8</v>
      </c>
      <c r="O127" s="30">
        <f t="shared" si="72"/>
        <v>0</v>
      </c>
      <c r="P127" s="30"/>
      <c r="Q127" s="30">
        <f t="shared" si="73"/>
        <v>0</v>
      </c>
      <c r="R127" s="30">
        <v>0</v>
      </c>
      <c r="S127" s="30">
        <f t="shared" si="135"/>
        <v>0</v>
      </c>
      <c r="T127" s="30"/>
      <c r="U127" s="30">
        <f t="shared" si="74"/>
        <v>0</v>
      </c>
      <c r="V127" s="29">
        <f>233.2+35.8</f>
        <v>269</v>
      </c>
      <c r="W127" s="30">
        <f t="shared" si="75"/>
        <v>0</v>
      </c>
      <c r="X127" s="30"/>
      <c r="Y127" s="30">
        <f t="shared" si="76"/>
        <v>0</v>
      </c>
      <c r="Z127" s="31">
        <v>47.6</v>
      </c>
      <c r="AA127" s="30">
        <f t="shared" si="77"/>
        <v>0</v>
      </c>
      <c r="AB127" s="30"/>
      <c r="AC127" s="30">
        <f t="shared" si="78"/>
        <v>0</v>
      </c>
      <c r="AD127" s="31">
        <v>8.4</v>
      </c>
      <c r="AE127" s="30">
        <f t="shared" si="79"/>
        <v>0</v>
      </c>
      <c r="AF127" s="30"/>
      <c r="AG127" s="30">
        <f t="shared" si="80"/>
        <v>0</v>
      </c>
      <c r="AH127" s="30">
        <f t="shared" si="99"/>
        <v>0</v>
      </c>
      <c r="AI127" s="30">
        <f t="shared" si="121"/>
        <v>0</v>
      </c>
      <c r="AJ127" s="31">
        <v>1200</v>
      </c>
      <c r="AK127" s="30" t="s">
        <v>314</v>
      </c>
      <c r="AL127" s="32">
        <v>0</v>
      </c>
      <c r="AM127" s="32">
        <f t="shared" si="104"/>
        <v>0</v>
      </c>
      <c r="AN127" s="32"/>
      <c r="AO127" s="32">
        <f t="shared" si="82"/>
        <v>0</v>
      </c>
      <c r="AP127" s="32">
        <f t="shared" si="81"/>
        <v>0</v>
      </c>
      <c r="AQ127" s="33">
        <f t="shared" si="83"/>
        <v>0</v>
      </c>
      <c r="AR127" s="82">
        <f t="shared" si="83"/>
        <v>0</v>
      </c>
      <c r="AS127" s="9"/>
      <c r="AT127" s="9"/>
      <c r="AU127" s="9"/>
      <c r="AV127" s="9"/>
      <c r="AW127" s="65"/>
      <c r="AX127" s="65"/>
      <c r="AY127" s="62"/>
      <c r="AZ127" s="62"/>
      <c r="BA127" s="62"/>
      <c r="BB127" s="62"/>
      <c r="BC127" s="62"/>
      <c r="BD127" s="62"/>
      <c r="BE127" s="62"/>
      <c r="BF127" s="62"/>
      <c r="BG127" s="62"/>
      <c r="BH127" s="62"/>
      <c r="BI127" s="62"/>
      <c r="BJ127" s="62"/>
      <c r="BK127" s="62"/>
      <c r="BL127" s="62"/>
      <c r="BM127" s="62"/>
      <c r="BN127" s="62"/>
      <c r="BO127" s="62"/>
      <c r="BP127" s="62"/>
      <c r="BQ127" s="62"/>
      <c r="BR127" s="62"/>
      <c r="BS127" s="62"/>
      <c r="BT127" s="62"/>
      <c r="BU127" s="62"/>
      <c r="BV127" s="62"/>
      <c r="BW127" s="62"/>
      <c r="BX127" s="62"/>
      <c r="BY127" s="62"/>
      <c r="BZ127" s="62"/>
      <c r="CA127" s="62"/>
      <c r="CB127" s="62"/>
      <c r="CC127" s="62"/>
      <c r="CD127" s="62"/>
      <c r="CE127" s="62"/>
      <c r="CF127" s="62"/>
      <c r="CG127" s="62"/>
    </row>
    <row r="128" spans="1:85" s="4" customFormat="1" ht="64.5" customHeight="1" outlineLevel="1" x14ac:dyDescent="0.25">
      <c r="A128" s="25">
        <f>A127+1</f>
        <v>101</v>
      </c>
      <c r="B128" s="26" t="s">
        <v>256</v>
      </c>
      <c r="C128" s="27" t="s">
        <v>137</v>
      </c>
      <c r="D128" s="28" t="s">
        <v>18</v>
      </c>
      <c r="E128" s="29">
        <f t="shared" si="84"/>
        <v>949.3</v>
      </c>
      <c r="F128" s="29">
        <v>135.30000000000001</v>
      </c>
      <c r="G128" s="30">
        <f t="shared" si="67"/>
        <v>0</v>
      </c>
      <c r="H128" s="30"/>
      <c r="I128" s="30">
        <f t="shared" si="69"/>
        <v>0</v>
      </c>
      <c r="J128" s="31">
        <v>391.3</v>
      </c>
      <c r="K128" s="30">
        <f t="shared" si="70"/>
        <v>0</v>
      </c>
      <c r="L128" s="30"/>
      <c r="M128" s="30">
        <f t="shared" si="71"/>
        <v>0</v>
      </c>
      <c r="N128" s="29">
        <v>73.900000000000006</v>
      </c>
      <c r="O128" s="30">
        <f t="shared" si="72"/>
        <v>0</v>
      </c>
      <c r="P128" s="30"/>
      <c r="Q128" s="30">
        <f t="shared" si="73"/>
        <v>0</v>
      </c>
      <c r="R128" s="30">
        <v>19.2</v>
      </c>
      <c r="S128" s="30">
        <v>4.2</v>
      </c>
      <c r="T128" s="30"/>
      <c r="U128" s="30">
        <f t="shared" si="74"/>
        <v>0</v>
      </c>
      <c r="V128" s="29">
        <f>149.5+26.4+24.4</f>
        <v>200.3</v>
      </c>
      <c r="W128" s="30">
        <f t="shared" si="75"/>
        <v>0</v>
      </c>
      <c r="X128" s="30"/>
      <c r="Y128" s="30">
        <f t="shared" si="76"/>
        <v>0</v>
      </c>
      <c r="Z128" s="31">
        <v>117</v>
      </c>
      <c r="AA128" s="30">
        <f t="shared" si="77"/>
        <v>0</v>
      </c>
      <c r="AB128" s="30"/>
      <c r="AC128" s="30">
        <f t="shared" si="78"/>
        <v>0</v>
      </c>
      <c r="AD128" s="31">
        <v>12.3</v>
      </c>
      <c r="AE128" s="30">
        <f t="shared" si="79"/>
        <v>0</v>
      </c>
      <c r="AF128" s="30"/>
      <c r="AG128" s="30">
        <f t="shared" si="80"/>
        <v>0</v>
      </c>
      <c r="AH128" s="30">
        <f t="shared" si="99"/>
        <v>0</v>
      </c>
      <c r="AI128" s="30">
        <f t="shared" si="121"/>
        <v>0</v>
      </c>
      <c r="AJ128" s="31">
        <v>2500</v>
      </c>
      <c r="AK128" s="30" t="s">
        <v>314</v>
      </c>
      <c r="AL128" s="32">
        <v>0</v>
      </c>
      <c r="AM128" s="32">
        <f t="shared" si="104"/>
        <v>0</v>
      </c>
      <c r="AN128" s="32"/>
      <c r="AO128" s="32">
        <f t="shared" si="82"/>
        <v>0</v>
      </c>
      <c r="AP128" s="32">
        <f t="shared" si="81"/>
        <v>0</v>
      </c>
      <c r="AQ128" s="33">
        <f t="shared" si="83"/>
        <v>0</v>
      </c>
      <c r="AR128" s="82">
        <f t="shared" si="83"/>
        <v>0</v>
      </c>
      <c r="AS128" s="9"/>
      <c r="AT128" s="9"/>
      <c r="AU128" s="9"/>
      <c r="AV128" s="9"/>
      <c r="AW128" s="65"/>
      <c r="AX128" s="65"/>
      <c r="AY128" s="62"/>
      <c r="AZ128" s="62"/>
      <c r="BA128" s="62"/>
      <c r="BB128" s="62"/>
      <c r="BC128" s="62"/>
      <c r="BD128" s="62"/>
      <c r="BE128" s="62"/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  <c r="BZ128" s="62"/>
      <c r="CA128" s="62"/>
      <c r="CB128" s="62"/>
      <c r="CC128" s="62"/>
      <c r="CD128" s="62"/>
      <c r="CE128" s="62"/>
      <c r="CF128" s="62"/>
      <c r="CG128" s="62"/>
    </row>
    <row r="129" spans="1:85" s="4" customFormat="1" ht="64.5" customHeight="1" outlineLevel="1" x14ac:dyDescent="0.25">
      <c r="A129" s="25">
        <f>A128+1</f>
        <v>102</v>
      </c>
      <c r="B129" s="26" t="s">
        <v>256</v>
      </c>
      <c r="C129" s="27" t="s">
        <v>138</v>
      </c>
      <c r="D129" s="28" t="s">
        <v>18</v>
      </c>
      <c r="E129" s="29">
        <f t="shared" si="84"/>
        <v>666.9</v>
      </c>
      <c r="F129" s="29">
        <f>157.9+0.1</f>
        <v>158</v>
      </c>
      <c r="G129" s="30">
        <f t="shared" si="67"/>
        <v>0</v>
      </c>
      <c r="H129" s="30"/>
      <c r="I129" s="30">
        <f t="shared" si="69"/>
        <v>0</v>
      </c>
      <c r="J129" s="31">
        <v>163</v>
      </c>
      <c r="K129" s="30">
        <f t="shared" si="70"/>
        <v>0</v>
      </c>
      <c r="L129" s="30"/>
      <c r="M129" s="30">
        <f t="shared" si="71"/>
        <v>0</v>
      </c>
      <c r="N129" s="29">
        <v>76.3</v>
      </c>
      <c r="O129" s="30">
        <f t="shared" si="72"/>
        <v>0</v>
      </c>
      <c r="P129" s="30"/>
      <c r="Q129" s="30">
        <f t="shared" si="73"/>
        <v>0</v>
      </c>
      <c r="R129" s="30">
        <v>51.8</v>
      </c>
      <c r="S129" s="30">
        <f t="shared" ref="S129:S131" si="136">T129/1.18</f>
        <v>0</v>
      </c>
      <c r="T129" s="30"/>
      <c r="U129" s="30">
        <f t="shared" si="74"/>
        <v>0</v>
      </c>
      <c r="V129" s="29">
        <f>157.3-34.4</f>
        <v>122.9</v>
      </c>
      <c r="W129" s="30">
        <f t="shared" si="75"/>
        <v>0</v>
      </c>
      <c r="X129" s="30"/>
      <c r="Y129" s="30">
        <f t="shared" si="76"/>
        <v>0</v>
      </c>
      <c r="Z129" s="31">
        <f>34.2+58.2</f>
        <v>92.4</v>
      </c>
      <c r="AA129" s="30">
        <f t="shared" si="77"/>
        <v>0</v>
      </c>
      <c r="AB129" s="30"/>
      <c r="AC129" s="30">
        <f t="shared" si="78"/>
        <v>0</v>
      </c>
      <c r="AD129" s="31">
        <v>2.5</v>
      </c>
      <c r="AE129" s="30">
        <f t="shared" si="79"/>
        <v>0</v>
      </c>
      <c r="AF129" s="30"/>
      <c r="AG129" s="30">
        <f t="shared" si="80"/>
        <v>0</v>
      </c>
      <c r="AH129" s="30">
        <f t="shared" si="99"/>
        <v>0</v>
      </c>
      <c r="AI129" s="30">
        <f t="shared" si="121"/>
        <v>0</v>
      </c>
      <c r="AJ129" s="31">
        <v>1200</v>
      </c>
      <c r="AK129" s="30" t="s">
        <v>314</v>
      </c>
      <c r="AL129" s="32">
        <v>0</v>
      </c>
      <c r="AM129" s="32">
        <f t="shared" si="104"/>
        <v>0</v>
      </c>
      <c r="AN129" s="32"/>
      <c r="AO129" s="32">
        <f t="shared" si="82"/>
        <v>0</v>
      </c>
      <c r="AP129" s="32">
        <f t="shared" si="81"/>
        <v>0</v>
      </c>
      <c r="AQ129" s="33">
        <f t="shared" si="83"/>
        <v>0</v>
      </c>
      <c r="AR129" s="82">
        <f t="shared" si="83"/>
        <v>0</v>
      </c>
      <c r="AS129" s="9"/>
      <c r="AT129" s="9"/>
      <c r="AU129" s="9"/>
      <c r="AV129" s="9"/>
      <c r="AW129" s="65"/>
      <c r="AX129" s="65"/>
      <c r="AY129" s="62"/>
      <c r="AZ129" s="62"/>
      <c r="BA129" s="62"/>
      <c r="BB129" s="62"/>
      <c r="BC129" s="62"/>
      <c r="BD129" s="62"/>
      <c r="BE129" s="62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62"/>
      <c r="BR129" s="62"/>
      <c r="BS129" s="62"/>
      <c r="BT129" s="62"/>
      <c r="BU129" s="62"/>
      <c r="BV129" s="62"/>
      <c r="BW129" s="62"/>
      <c r="BX129" s="62"/>
      <c r="BY129" s="62"/>
      <c r="BZ129" s="62"/>
      <c r="CA129" s="62"/>
      <c r="CB129" s="62"/>
      <c r="CC129" s="62"/>
      <c r="CD129" s="62"/>
      <c r="CE129" s="62"/>
      <c r="CF129" s="62"/>
      <c r="CG129" s="62"/>
    </row>
    <row r="130" spans="1:85" s="4" customFormat="1" ht="64.5" customHeight="1" outlineLevel="1" x14ac:dyDescent="0.25">
      <c r="A130" s="145" t="s">
        <v>60</v>
      </c>
      <c r="B130" s="146"/>
      <c r="C130" s="146"/>
      <c r="D130" s="106"/>
      <c r="E130" s="29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30"/>
      <c r="AI130" s="30"/>
      <c r="AJ130" s="106"/>
      <c r="AK130" s="30"/>
      <c r="AL130" s="106"/>
      <c r="AM130" s="106"/>
      <c r="AN130" s="106"/>
      <c r="AO130" s="106"/>
      <c r="AP130" s="106"/>
      <c r="AQ130" s="111"/>
      <c r="AR130" s="126"/>
      <c r="AS130" s="9"/>
      <c r="AT130" s="9"/>
      <c r="AU130" s="9"/>
      <c r="AV130" s="9"/>
      <c r="AW130" s="65"/>
      <c r="AX130" s="65"/>
      <c r="AY130" s="62"/>
      <c r="AZ130" s="62"/>
      <c r="BA130" s="62"/>
      <c r="BB130" s="62"/>
      <c r="BC130" s="62"/>
      <c r="BD130" s="62"/>
      <c r="BE130" s="62"/>
      <c r="BF130" s="62"/>
      <c r="BG130" s="62"/>
      <c r="BH130" s="62"/>
      <c r="BI130" s="62"/>
      <c r="BJ130" s="62"/>
      <c r="BK130" s="62"/>
      <c r="BL130" s="62"/>
      <c r="BM130" s="62"/>
      <c r="BN130" s="62"/>
      <c r="BO130" s="62"/>
      <c r="BP130" s="62"/>
      <c r="BQ130" s="62"/>
      <c r="BR130" s="62"/>
      <c r="BS130" s="62"/>
      <c r="BT130" s="62"/>
      <c r="BU130" s="62"/>
      <c r="BV130" s="62"/>
      <c r="BW130" s="62"/>
      <c r="BX130" s="62"/>
      <c r="BY130" s="62"/>
      <c r="BZ130" s="62"/>
      <c r="CA130" s="62"/>
      <c r="CB130" s="62"/>
      <c r="CC130" s="62"/>
      <c r="CD130" s="62"/>
      <c r="CE130" s="62"/>
      <c r="CF130" s="62"/>
      <c r="CG130" s="62"/>
    </row>
    <row r="131" spans="1:85" s="4" customFormat="1" ht="64.5" customHeight="1" outlineLevel="1" x14ac:dyDescent="0.25">
      <c r="A131" s="25">
        <f>A129+1</f>
        <v>103</v>
      </c>
      <c r="B131" s="26" t="s">
        <v>16</v>
      </c>
      <c r="C131" s="27" t="s">
        <v>139</v>
      </c>
      <c r="D131" s="28" t="s">
        <v>18</v>
      </c>
      <c r="E131" s="29">
        <f t="shared" si="84"/>
        <v>560.60000000000014</v>
      </c>
      <c r="F131" s="29">
        <f>359.8-10.9</f>
        <v>348.90000000000003</v>
      </c>
      <c r="G131" s="30">
        <f t="shared" si="67"/>
        <v>0</v>
      </c>
      <c r="H131" s="30"/>
      <c r="I131" s="30">
        <f t="shared" si="69"/>
        <v>0</v>
      </c>
      <c r="J131" s="31">
        <v>5.2</v>
      </c>
      <c r="K131" s="30">
        <f t="shared" si="70"/>
        <v>0</v>
      </c>
      <c r="L131" s="30"/>
      <c r="M131" s="30">
        <f t="shared" si="71"/>
        <v>0</v>
      </c>
      <c r="N131" s="29">
        <v>52.8</v>
      </c>
      <c r="O131" s="30">
        <f t="shared" si="72"/>
        <v>0</v>
      </c>
      <c r="P131" s="30"/>
      <c r="Q131" s="30">
        <f t="shared" si="73"/>
        <v>0</v>
      </c>
      <c r="R131" s="30">
        <v>0</v>
      </c>
      <c r="S131" s="30">
        <f t="shared" si="136"/>
        <v>0</v>
      </c>
      <c r="T131" s="30"/>
      <c r="U131" s="30">
        <f t="shared" si="74"/>
        <v>0</v>
      </c>
      <c r="V131" s="29">
        <f>135.5</f>
        <v>135.5</v>
      </c>
      <c r="W131" s="30">
        <f t="shared" si="75"/>
        <v>0</v>
      </c>
      <c r="X131" s="30"/>
      <c r="Y131" s="30">
        <f t="shared" si="76"/>
        <v>0</v>
      </c>
      <c r="Z131" s="31">
        <v>0</v>
      </c>
      <c r="AA131" s="30">
        <f t="shared" si="77"/>
        <v>0</v>
      </c>
      <c r="AB131" s="30"/>
      <c r="AC131" s="30">
        <f t="shared" si="78"/>
        <v>0</v>
      </c>
      <c r="AD131" s="31">
        <v>18.2</v>
      </c>
      <c r="AE131" s="30">
        <f t="shared" si="79"/>
        <v>0</v>
      </c>
      <c r="AF131" s="30"/>
      <c r="AG131" s="30">
        <f t="shared" si="80"/>
        <v>0</v>
      </c>
      <c r="AH131" s="30">
        <f t="shared" si="99"/>
        <v>0</v>
      </c>
      <c r="AI131" s="30">
        <f t="shared" si="121"/>
        <v>0</v>
      </c>
      <c r="AJ131" s="31">
        <v>1900</v>
      </c>
      <c r="AK131" s="30" t="s">
        <v>314</v>
      </c>
      <c r="AL131" s="32">
        <v>0</v>
      </c>
      <c r="AM131" s="32">
        <f t="shared" si="104"/>
        <v>0</v>
      </c>
      <c r="AN131" s="32"/>
      <c r="AO131" s="32">
        <f t="shared" si="82"/>
        <v>0</v>
      </c>
      <c r="AP131" s="32">
        <f t="shared" si="81"/>
        <v>0</v>
      </c>
      <c r="AQ131" s="33">
        <f t="shared" si="83"/>
        <v>0</v>
      </c>
      <c r="AR131" s="82">
        <f t="shared" si="83"/>
        <v>0</v>
      </c>
      <c r="AS131" s="9"/>
      <c r="AT131" s="9"/>
      <c r="AU131" s="9"/>
      <c r="AV131" s="9"/>
      <c r="AW131" s="65"/>
      <c r="AX131" s="65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62"/>
      <c r="BU131" s="62"/>
      <c r="BV131" s="62"/>
      <c r="BW131" s="62"/>
      <c r="BX131" s="62"/>
      <c r="BY131" s="62"/>
      <c r="BZ131" s="62"/>
      <c r="CA131" s="62"/>
      <c r="CB131" s="62"/>
      <c r="CC131" s="62"/>
      <c r="CD131" s="62"/>
      <c r="CE131" s="62"/>
      <c r="CF131" s="62"/>
      <c r="CG131" s="62"/>
    </row>
    <row r="132" spans="1:85" s="4" customFormat="1" ht="64.5" customHeight="1" outlineLevel="1" x14ac:dyDescent="0.25">
      <c r="A132" s="25">
        <f>A131+1</f>
        <v>104</v>
      </c>
      <c r="B132" s="26" t="s">
        <v>257</v>
      </c>
      <c r="C132" s="27" t="s">
        <v>140</v>
      </c>
      <c r="D132" s="28" t="s">
        <v>18</v>
      </c>
      <c r="E132" s="29">
        <f t="shared" si="84"/>
        <v>388.59999999999997</v>
      </c>
      <c r="F132" s="29">
        <v>0</v>
      </c>
      <c r="G132" s="30">
        <f t="shared" si="67"/>
        <v>0</v>
      </c>
      <c r="H132" s="30"/>
      <c r="I132" s="30">
        <f t="shared" si="69"/>
        <v>0</v>
      </c>
      <c r="J132" s="31">
        <v>207.6</v>
      </c>
      <c r="K132" s="30">
        <f t="shared" si="70"/>
        <v>0</v>
      </c>
      <c r="L132" s="30"/>
      <c r="M132" s="30">
        <f t="shared" si="71"/>
        <v>0</v>
      </c>
      <c r="N132" s="29">
        <v>0</v>
      </c>
      <c r="O132" s="30">
        <f t="shared" si="72"/>
        <v>0</v>
      </c>
      <c r="P132" s="30"/>
      <c r="Q132" s="30">
        <f t="shared" si="73"/>
        <v>0</v>
      </c>
      <c r="R132" s="30">
        <v>21.1</v>
      </c>
      <c r="S132" s="30">
        <v>4.2</v>
      </c>
      <c r="T132" s="30"/>
      <c r="U132" s="30">
        <f t="shared" si="74"/>
        <v>0</v>
      </c>
      <c r="V132" s="29">
        <f>132.4+18.6</f>
        <v>151</v>
      </c>
      <c r="W132" s="30">
        <f t="shared" si="75"/>
        <v>0</v>
      </c>
      <c r="X132" s="30"/>
      <c r="Y132" s="30">
        <f t="shared" si="76"/>
        <v>0</v>
      </c>
      <c r="Z132" s="31">
        <v>0</v>
      </c>
      <c r="AA132" s="30">
        <f t="shared" si="77"/>
        <v>0</v>
      </c>
      <c r="AB132" s="30"/>
      <c r="AC132" s="30">
        <f t="shared" si="78"/>
        <v>0</v>
      </c>
      <c r="AD132" s="31">
        <v>8.9</v>
      </c>
      <c r="AE132" s="30">
        <f t="shared" si="79"/>
        <v>0</v>
      </c>
      <c r="AF132" s="30"/>
      <c r="AG132" s="30">
        <f t="shared" si="80"/>
        <v>0</v>
      </c>
      <c r="AH132" s="30">
        <f t="shared" si="99"/>
        <v>0</v>
      </c>
      <c r="AI132" s="30">
        <f t="shared" si="121"/>
        <v>0</v>
      </c>
      <c r="AJ132" s="31">
        <v>6560</v>
      </c>
      <c r="AK132" s="30" t="s">
        <v>314</v>
      </c>
      <c r="AL132" s="32">
        <v>0</v>
      </c>
      <c r="AM132" s="32">
        <f t="shared" si="104"/>
        <v>0</v>
      </c>
      <c r="AN132" s="32"/>
      <c r="AO132" s="32">
        <f t="shared" si="82"/>
        <v>0</v>
      </c>
      <c r="AP132" s="32">
        <f t="shared" si="81"/>
        <v>0</v>
      </c>
      <c r="AQ132" s="33">
        <f t="shared" si="83"/>
        <v>0</v>
      </c>
      <c r="AR132" s="82">
        <f t="shared" si="83"/>
        <v>0</v>
      </c>
      <c r="AS132" s="9"/>
      <c r="AT132" s="9"/>
      <c r="AU132" s="9"/>
      <c r="AV132" s="9"/>
      <c r="AW132" s="65"/>
      <c r="AX132" s="65"/>
      <c r="AY132" s="62"/>
      <c r="AZ132" s="62"/>
      <c r="BA132" s="62"/>
      <c r="BB132" s="62"/>
      <c r="BC132" s="62"/>
      <c r="BD132" s="62"/>
      <c r="BE132" s="62"/>
      <c r="BF132" s="62"/>
      <c r="BG132" s="62"/>
      <c r="BH132" s="62"/>
      <c r="BI132" s="62"/>
      <c r="BJ132" s="62"/>
      <c r="BK132" s="62"/>
      <c r="BL132" s="62"/>
      <c r="BM132" s="62"/>
      <c r="BN132" s="62"/>
      <c r="BO132" s="62"/>
      <c r="BP132" s="62"/>
      <c r="BQ132" s="62"/>
      <c r="BR132" s="62"/>
      <c r="BS132" s="62"/>
      <c r="BT132" s="62"/>
      <c r="BU132" s="62"/>
      <c r="BV132" s="62"/>
      <c r="BW132" s="62"/>
      <c r="BX132" s="62"/>
      <c r="BY132" s="62"/>
      <c r="BZ132" s="62"/>
      <c r="CA132" s="62"/>
      <c r="CB132" s="62"/>
      <c r="CC132" s="62"/>
      <c r="CD132" s="62"/>
      <c r="CE132" s="62"/>
      <c r="CF132" s="62"/>
      <c r="CG132" s="62"/>
    </row>
    <row r="133" spans="1:85" s="4" customFormat="1" ht="64.5" customHeight="1" outlineLevel="1" x14ac:dyDescent="0.25">
      <c r="A133" s="25">
        <f>A132+1</f>
        <v>105</v>
      </c>
      <c r="B133" s="26" t="s">
        <v>257</v>
      </c>
      <c r="C133" s="27" t="s">
        <v>141</v>
      </c>
      <c r="D133" s="28" t="s">
        <v>18</v>
      </c>
      <c r="E133" s="29">
        <f t="shared" si="84"/>
        <v>2817.2000000000003</v>
      </c>
      <c r="F133" s="29">
        <v>475.9</v>
      </c>
      <c r="G133" s="30">
        <f t="shared" si="67"/>
        <v>0</v>
      </c>
      <c r="H133" s="30"/>
      <c r="I133" s="30">
        <f t="shared" si="69"/>
        <v>0</v>
      </c>
      <c r="J133" s="31">
        <v>1223.9000000000001</v>
      </c>
      <c r="K133" s="30">
        <f t="shared" si="70"/>
        <v>0</v>
      </c>
      <c r="L133" s="30"/>
      <c r="M133" s="30">
        <f t="shared" si="71"/>
        <v>0</v>
      </c>
      <c r="N133" s="29">
        <v>0</v>
      </c>
      <c r="O133" s="30">
        <f t="shared" si="72"/>
        <v>0</v>
      </c>
      <c r="P133" s="30"/>
      <c r="Q133" s="30">
        <f t="shared" si="73"/>
        <v>0</v>
      </c>
      <c r="R133" s="30">
        <v>204.7</v>
      </c>
      <c r="S133" s="30">
        <f t="shared" ref="S133:S135" si="137">T133/1.18</f>
        <v>0</v>
      </c>
      <c r="T133" s="30"/>
      <c r="U133" s="30">
        <f t="shared" si="74"/>
        <v>0</v>
      </c>
      <c r="V133" s="29">
        <v>731.2</v>
      </c>
      <c r="W133" s="30">
        <f t="shared" si="75"/>
        <v>0</v>
      </c>
      <c r="X133" s="30"/>
      <c r="Y133" s="30">
        <f t="shared" si="76"/>
        <v>0</v>
      </c>
      <c r="Z133" s="31">
        <v>154.5</v>
      </c>
      <c r="AA133" s="30">
        <f t="shared" si="77"/>
        <v>0</v>
      </c>
      <c r="AB133" s="30"/>
      <c r="AC133" s="30">
        <f t="shared" si="78"/>
        <v>0</v>
      </c>
      <c r="AD133" s="31">
        <v>27</v>
      </c>
      <c r="AE133" s="30">
        <f t="shared" si="79"/>
        <v>0</v>
      </c>
      <c r="AF133" s="30"/>
      <c r="AG133" s="30">
        <f t="shared" si="80"/>
        <v>0</v>
      </c>
      <c r="AH133" s="30">
        <f t="shared" si="99"/>
        <v>0</v>
      </c>
      <c r="AI133" s="30">
        <f t="shared" si="121"/>
        <v>0</v>
      </c>
      <c r="AJ133" s="31">
        <v>640</v>
      </c>
      <c r="AK133" s="30" t="s">
        <v>314</v>
      </c>
      <c r="AL133" s="32">
        <v>0</v>
      </c>
      <c r="AM133" s="32">
        <f t="shared" si="104"/>
        <v>0</v>
      </c>
      <c r="AN133" s="32"/>
      <c r="AO133" s="32">
        <f t="shared" si="82"/>
        <v>0</v>
      </c>
      <c r="AP133" s="32">
        <f t="shared" si="81"/>
        <v>0</v>
      </c>
      <c r="AQ133" s="33">
        <f t="shared" si="83"/>
        <v>0</v>
      </c>
      <c r="AR133" s="82">
        <f t="shared" si="83"/>
        <v>0</v>
      </c>
      <c r="AS133" s="9"/>
      <c r="AT133" s="9"/>
      <c r="AU133" s="9"/>
      <c r="AV133" s="9"/>
      <c r="AW133" s="65"/>
      <c r="AX133" s="65"/>
      <c r="AY133" s="62"/>
      <c r="AZ133" s="62"/>
      <c r="BA133" s="62"/>
      <c r="BB133" s="62"/>
      <c r="BC133" s="62"/>
      <c r="BD133" s="62"/>
      <c r="BE133" s="62"/>
      <c r="BF133" s="62"/>
      <c r="BG133" s="62"/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62"/>
      <c r="BU133" s="62"/>
      <c r="BV133" s="62"/>
      <c r="BW133" s="62"/>
      <c r="BX133" s="62"/>
      <c r="BY133" s="62"/>
      <c r="BZ133" s="62"/>
      <c r="CA133" s="62"/>
      <c r="CB133" s="62"/>
      <c r="CC133" s="62"/>
      <c r="CD133" s="62"/>
      <c r="CE133" s="62"/>
      <c r="CF133" s="62"/>
      <c r="CG133" s="62"/>
    </row>
    <row r="134" spans="1:85" s="4" customFormat="1" ht="64.5" customHeight="1" outlineLevel="1" x14ac:dyDescent="0.25">
      <c r="A134" s="141" t="s">
        <v>61</v>
      </c>
      <c r="B134" s="142"/>
      <c r="C134" s="142"/>
      <c r="D134" s="105"/>
      <c r="E134" s="29"/>
      <c r="F134" s="105"/>
      <c r="G134" s="105"/>
      <c r="H134" s="105"/>
      <c r="I134" s="10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F134" s="105"/>
      <c r="AG134" s="105"/>
      <c r="AH134" s="30">
        <f t="shared" si="99"/>
        <v>0</v>
      </c>
      <c r="AI134" s="30">
        <f t="shared" si="121"/>
        <v>0</v>
      </c>
      <c r="AJ134" s="105"/>
      <c r="AK134" s="30"/>
      <c r="AL134" s="105"/>
      <c r="AM134" s="105"/>
      <c r="AN134" s="105"/>
      <c r="AO134" s="105"/>
      <c r="AP134" s="105"/>
      <c r="AQ134" s="111"/>
      <c r="AR134" s="126"/>
      <c r="AS134" s="9"/>
      <c r="AT134" s="9"/>
      <c r="AU134" s="9"/>
      <c r="AV134" s="9"/>
      <c r="AW134" s="65"/>
      <c r="AX134" s="65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  <c r="BI134" s="62"/>
      <c r="BJ134" s="62"/>
      <c r="BK134" s="62"/>
      <c r="BL134" s="62"/>
      <c r="BM134" s="62"/>
      <c r="BN134" s="62"/>
      <c r="BO134" s="62"/>
      <c r="BP134" s="62"/>
      <c r="BQ134" s="62"/>
      <c r="BR134" s="62"/>
      <c r="BS134" s="62"/>
      <c r="BT134" s="62"/>
      <c r="BU134" s="62"/>
      <c r="BV134" s="62"/>
      <c r="BW134" s="62"/>
      <c r="BX134" s="62"/>
      <c r="BY134" s="62"/>
      <c r="BZ134" s="62"/>
      <c r="CA134" s="62"/>
      <c r="CB134" s="62"/>
      <c r="CC134" s="62"/>
      <c r="CD134" s="62"/>
      <c r="CE134" s="62"/>
      <c r="CF134" s="62"/>
      <c r="CG134" s="62"/>
    </row>
    <row r="135" spans="1:85" s="4" customFormat="1" ht="64.5" customHeight="1" outlineLevel="1" x14ac:dyDescent="0.25">
      <c r="A135" s="25">
        <f>A133+1</f>
        <v>106</v>
      </c>
      <c r="B135" s="45" t="s">
        <v>269</v>
      </c>
      <c r="C135" s="27" t="s">
        <v>142</v>
      </c>
      <c r="D135" s="28" t="s">
        <v>18</v>
      </c>
      <c r="E135" s="29">
        <f t="shared" si="84"/>
        <v>5.2</v>
      </c>
      <c r="F135" s="29">
        <v>0</v>
      </c>
      <c r="G135" s="30">
        <f t="shared" si="67"/>
        <v>0</v>
      </c>
      <c r="H135" s="30"/>
      <c r="I135" s="30">
        <f t="shared" si="69"/>
        <v>0</v>
      </c>
      <c r="J135" s="31">
        <v>5.2</v>
      </c>
      <c r="K135" s="30">
        <f t="shared" si="70"/>
        <v>0</v>
      </c>
      <c r="L135" s="30"/>
      <c r="M135" s="30">
        <f t="shared" si="71"/>
        <v>0</v>
      </c>
      <c r="N135" s="29">
        <v>0</v>
      </c>
      <c r="O135" s="30">
        <f t="shared" si="72"/>
        <v>0</v>
      </c>
      <c r="P135" s="30"/>
      <c r="Q135" s="30">
        <f t="shared" si="73"/>
        <v>0</v>
      </c>
      <c r="R135" s="30">
        <v>0</v>
      </c>
      <c r="S135" s="30">
        <f t="shared" si="137"/>
        <v>0</v>
      </c>
      <c r="T135" s="30"/>
      <c r="U135" s="30">
        <f t="shared" si="74"/>
        <v>0</v>
      </c>
      <c r="V135" s="29">
        <v>0</v>
      </c>
      <c r="W135" s="30">
        <f t="shared" si="75"/>
        <v>0</v>
      </c>
      <c r="X135" s="30"/>
      <c r="Y135" s="30">
        <f t="shared" si="76"/>
        <v>0</v>
      </c>
      <c r="Z135" s="31">
        <v>0</v>
      </c>
      <c r="AA135" s="30">
        <f t="shared" si="77"/>
        <v>0</v>
      </c>
      <c r="AB135" s="30"/>
      <c r="AC135" s="30">
        <f t="shared" si="78"/>
        <v>0</v>
      </c>
      <c r="AD135" s="31">
        <v>0</v>
      </c>
      <c r="AE135" s="30">
        <f t="shared" si="79"/>
        <v>0</v>
      </c>
      <c r="AF135" s="30"/>
      <c r="AG135" s="30">
        <f t="shared" si="80"/>
        <v>0</v>
      </c>
      <c r="AH135" s="30">
        <f t="shared" si="99"/>
        <v>0</v>
      </c>
      <c r="AI135" s="30">
        <f t="shared" si="121"/>
        <v>0</v>
      </c>
      <c r="AJ135" s="31">
        <v>0</v>
      </c>
      <c r="AK135" s="30" t="s">
        <v>314</v>
      </c>
      <c r="AL135" s="32">
        <v>0</v>
      </c>
      <c r="AM135" s="32">
        <f t="shared" si="104"/>
        <v>0</v>
      </c>
      <c r="AN135" s="32"/>
      <c r="AO135" s="32">
        <f t="shared" si="82"/>
        <v>0</v>
      </c>
      <c r="AP135" s="32">
        <f t="shared" si="81"/>
        <v>0</v>
      </c>
      <c r="AQ135" s="33">
        <f t="shared" si="83"/>
        <v>0</v>
      </c>
      <c r="AR135" s="82">
        <f t="shared" si="83"/>
        <v>0</v>
      </c>
      <c r="AS135" s="9"/>
      <c r="AT135" s="9"/>
      <c r="AU135" s="9"/>
      <c r="AV135" s="9"/>
      <c r="AW135" s="65"/>
      <c r="AX135" s="65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62"/>
      <c r="BU135" s="62"/>
      <c r="BV135" s="62"/>
      <c r="BW135" s="62"/>
      <c r="BX135" s="62"/>
      <c r="BY135" s="62"/>
      <c r="BZ135" s="62"/>
      <c r="CA135" s="62"/>
      <c r="CB135" s="62"/>
      <c r="CC135" s="62"/>
      <c r="CD135" s="62"/>
      <c r="CE135" s="62"/>
      <c r="CF135" s="62"/>
      <c r="CG135" s="62"/>
    </row>
    <row r="136" spans="1:85" s="4" customFormat="1" ht="64.5" customHeight="1" outlineLevel="1" x14ac:dyDescent="0.25">
      <c r="A136" s="25">
        <f>A135+1</f>
        <v>107</v>
      </c>
      <c r="B136" s="26" t="s">
        <v>269</v>
      </c>
      <c r="C136" s="27" t="s">
        <v>143</v>
      </c>
      <c r="D136" s="28" t="s">
        <v>18</v>
      </c>
      <c r="E136" s="29">
        <f t="shared" si="84"/>
        <v>5.2</v>
      </c>
      <c r="F136" s="29">
        <v>0</v>
      </c>
      <c r="G136" s="30">
        <f t="shared" ref="G136:G212" si="138">H136/1.18</f>
        <v>0</v>
      </c>
      <c r="H136" s="30"/>
      <c r="I136" s="30">
        <f t="shared" si="69"/>
        <v>0</v>
      </c>
      <c r="J136" s="31">
        <v>5.2</v>
      </c>
      <c r="K136" s="30">
        <f t="shared" si="70"/>
        <v>0</v>
      </c>
      <c r="L136" s="30"/>
      <c r="M136" s="30">
        <f t="shared" si="71"/>
        <v>0</v>
      </c>
      <c r="N136" s="29">
        <v>0</v>
      </c>
      <c r="O136" s="30">
        <f t="shared" si="72"/>
        <v>0</v>
      </c>
      <c r="P136" s="30"/>
      <c r="Q136" s="30">
        <f t="shared" si="73"/>
        <v>0</v>
      </c>
      <c r="R136" s="30">
        <v>0</v>
      </c>
      <c r="S136" s="30">
        <v>4.2</v>
      </c>
      <c r="T136" s="30"/>
      <c r="U136" s="30">
        <f t="shared" si="74"/>
        <v>0</v>
      </c>
      <c r="V136" s="29">
        <v>0</v>
      </c>
      <c r="W136" s="30">
        <f t="shared" si="75"/>
        <v>0</v>
      </c>
      <c r="X136" s="30"/>
      <c r="Y136" s="30">
        <f t="shared" si="76"/>
        <v>0</v>
      </c>
      <c r="Z136" s="31">
        <v>0</v>
      </c>
      <c r="AA136" s="30">
        <f t="shared" si="77"/>
        <v>0</v>
      </c>
      <c r="AB136" s="30"/>
      <c r="AC136" s="30">
        <f t="shared" si="78"/>
        <v>0</v>
      </c>
      <c r="AD136" s="31">
        <v>0</v>
      </c>
      <c r="AE136" s="30">
        <f t="shared" si="79"/>
        <v>0</v>
      </c>
      <c r="AF136" s="30"/>
      <c r="AG136" s="30">
        <f t="shared" si="80"/>
        <v>0</v>
      </c>
      <c r="AH136" s="30">
        <f t="shared" si="99"/>
        <v>0</v>
      </c>
      <c r="AI136" s="30">
        <f t="shared" si="121"/>
        <v>0</v>
      </c>
      <c r="AJ136" s="31">
        <v>0</v>
      </c>
      <c r="AK136" s="30" t="s">
        <v>314</v>
      </c>
      <c r="AL136" s="32">
        <v>0</v>
      </c>
      <c r="AM136" s="32">
        <f t="shared" si="104"/>
        <v>0</v>
      </c>
      <c r="AN136" s="32"/>
      <c r="AO136" s="32">
        <f t="shared" si="82"/>
        <v>0</v>
      </c>
      <c r="AP136" s="32">
        <f t="shared" si="81"/>
        <v>0</v>
      </c>
      <c r="AQ136" s="33">
        <f t="shared" si="83"/>
        <v>0</v>
      </c>
      <c r="AR136" s="82">
        <f t="shared" si="83"/>
        <v>0</v>
      </c>
      <c r="AS136" s="9"/>
      <c r="AT136" s="9"/>
      <c r="AU136" s="9"/>
      <c r="AV136" s="9"/>
      <c r="AW136" s="65"/>
      <c r="AX136" s="65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  <c r="BZ136" s="62"/>
      <c r="CA136" s="62"/>
      <c r="CB136" s="62"/>
      <c r="CC136" s="62"/>
      <c r="CD136" s="62"/>
      <c r="CE136" s="62"/>
      <c r="CF136" s="62"/>
      <c r="CG136" s="62"/>
    </row>
    <row r="137" spans="1:85" s="4" customFormat="1" ht="64.5" customHeight="1" outlineLevel="1" x14ac:dyDescent="0.25">
      <c r="A137" s="25">
        <f t="shared" ref="A137:A162" si="139">A136+1</f>
        <v>108</v>
      </c>
      <c r="B137" s="26" t="s">
        <v>269</v>
      </c>
      <c r="C137" s="27" t="s">
        <v>144</v>
      </c>
      <c r="D137" s="28" t="s">
        <v>18</v>
      </c>
      <c r="E137" s="29">
        <f t="shared" si="84"/>
        <v>5.2</v>
      </c>
      <c r="F137" s="29">
        <v>0</v>
      </c>
      <c r="G137" s="30">
        <f t="shared" si="138"/>
        <v>0</v>
      </c>
      <c r="H137" s="30"/>
      <c r="I137" s="30">
        <f t="shared" si="69"/>
        <v>0</v>
      </c>
      <c r="J137" s="31">
        <v>5.2</v>
      </c>
      <c r="K137" s="30">
        <f t="shared" si="70"/>
        <v>0</v>
      </c>
      <c r="L137" s="30"/>
      <c r="M137" s="30">
        <f t="shared" si="71"/>
        <v>0</v>
      </c>
      <c r="N137" s="29">
        <v>0</v>
      </c>
      <c r="O137" s="30">
        <f t="shared" si="72"/>
        <v>0</v>
      </c>
      <c r="P137" s="30"/>
      <c r="Q137" s="30">
        <f t="shared" si="73"/>
        <v>0</v>
      </c>
      <c r="R137" s="30">
        <v>0</v>
      </c>
      <c r="S137" s="30">
        <f t="shared" ref="S137:S139" si="140">T137/1.18</f>
        <v>0</v>
      </c>
      <c r="T137" s="30"/>
      <c r="U137" s="30">
        <f t="shared" si="74"/>
        <v>0</v>
      </c>
      <c r="V137" s="29">
        <v>0</v>
      </c>
      <c r="W137" s="30">
        <f t="shared" si="75"/>
        <v>0</v>
      </c>
      <c r="X137" s="30"/>
      <c r="Y137" s="30">
        <f t="shared" si="76"/>
        <v>0</v>
      </c>
      <c r="Z137" s="31">
        <v>0</v>
      </c>
      <c r="AA137" s="30">
        <f t="shared" si="77"/>
        <v>0</v>
      </c>
      <c r="AB137" s="30"/>
      <c r="AC137" s="30">
        <f t="shared" si="78"/>
        <v>0</v>
      </c>
      <c r="AD137" s="31">
        <v>0</v>
      </c>
      <c r="AE137" s="30">
        <f t="shared" si="79"/>
        <v>0</v>
      </c>
      <c r="AF137" s="30"/>
      <c r="AG137" s="30">
        <f t="shared" si="80"/>
        <v>0</v>
      </c>
      <c r="AH137" s="30">
        <f t="shared" si="99"/>
        <v>0</v>
      </c>
      <c r="AI137" s="30">
        <f t="shared" si="121"/>
        <v>0</v>
      </c>
      <c r="AJ137" s="31">
        <v>0</v>
      </c>
      <c r="AK137" s="30" t="s">
        <v>314</v>
      </c>
      <c r="AL137" s="32">
        <v>0</v>
      </c>
      <c r="AM137" s="32">
        <f t="shared" si="104"/>
        <v>0</v>
      </c>
      <c r="AN137" s="32"/>
      <c r="AO137" s="32">
        <f t="shared" si="82"/>
        <v>0</v>
      </c>
      <c r="AP137" s="32">
        <f t="shared" si="81"/>
        <v>0</v>
      </c>
      <c r="AQ137" s="33">
        <f t="shared" si="83"/>
        <v>0</v>
      </c>
      <c r="AR137" s="82">
        <f t="shared" si="83"/>
        <v>0</v>
      </c>
      <c r="AS137" s="9"/>
      <c r="AT137" s="9"/>
      <c r="AU137" s="9"/>
      <c r="AV137" s="9"/>
      <c r="AW137" s="65"/>
      <c r="AX137" s="65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  <c r="BZ137" s="62"/>
      <c r="CA137" s="62"/>
      <c r="CB137" s="62"/>
      <c r="CC137" s="62"/>
      <c r="CD137" s="62"/>
      <c r="CE137" s="62"/>
      <c r="CF137" s="62"/>
      <c r="CG137" s="62"/>
    </row>
    <row r="138" spans="1:85" s="4" customFormat="1" ht="64.5" customHeight="1" outlineLevel="1" x14ac:dyDescent="0.25">
      <c r="A138" s="25">
        <f t="shared" si="139"/>
        <v>109</v>
      </c>
      <c r="B138" s="26" t="s">
        <v>269</v>
      </c>
      <c r="C138" s="27" t="s">
        <v>145</v>
      </c>
      <c r="D138" s="28" t="s">
        <v>18</v>
      </c>
      <c r="E138" s="29">
        <f t="shared" si="84"/>
        <v>5.2</v>
      </c>
      <c r="F138" s="29">
        <v>0</v>
      </c>
      <c r="G138" s="30">
        <f t="shared" si="138"/>
        <v>0</v>
      </c>
      <c r="H138" s="30"/>
      <c r="I138" s="30">
        <f t="shared" si="69"/>
        <v>0</v>
      </c>
      <c r="J138" s="31">
        <v>5.2</v>
      </c>
      <c r="K138" s="30">
        <f t="shared" si="70"/>
        <v>0</v>
      </c>
      <c r="L138" s="30"/>
      <c r="M138" s="30">
        <f t="shared" si="71"/>
        <v>0</v>
      </c>
      <c r="N138" s="29">
        <v>0</v>
      </c>
      <c r="O138" s="30">
        <f t="shared" si="72"/>
        <v>0</v>
      </c>
      <c r="P138" s="30"/>
      <c r="Q138" s="30">
        <f t="shared" si="73"/>
        <v>0</v>
      </c>
      <c r="R138" s="30">
        <v>0</v>
      </c>
      <c r="S138" s="30">
        <f t="shared" si="140"/>
        <v>0</v>
      </c>
      <c r="T138" s="30"/>
      <c r="U138" s="30">
        <f t="shared" si="74"/>
        <v>0</v>
      </c>
      <c r="V138" s="29">
        <v>0</v>
      </c>
      <c r="W138" s="30">
        <f t="shared" ref="W138:W212" si="141">X138/1.18</f>
        <v>0</v>
      </c>
      <c r="X138" s="30"/>
      <c r="Y138" s="30">
        <f t="shared" si="76"/>
        <v>0</v>
      </c>
      <c r="Z138" s="31">
        <v>0</v>
      </c>
      <c r="AA138" s="30">
        <f t="shared" ref="AA138:AA212" si="142">AB138/1.18</f>
        <v>0</v>
      </c>
      <c r="AB138" s="30"/>
      <c r="AC138" s="30">
        <f t="shared" si="78"/>
        <v>0</v>
      </c>
      <c r="AD138" s="31">
        <v>0</v>
      </c>
      <c r="AE138" s="30">
        <f t="shared" si="79"/>
        <v>0</v>
      </c>
      <c r="AF138" s="30"/>
      <c r="AG138" s="30">
        <f t="shared" si="80"/>
        <v>0</v>
      </c>
      <c r="AH138" s="30">
        <f t="shared" si="99"/>
        <v>0</v>
      </c>
      <c r="AI138" s="30">
        <f t="shared" si="121"/>
        <v>0</v>
      </c>
      <c r="AJ138" s="31">
        <v>0</v>
      </c>
      <c r="AK138" s="30" t="s">
        <v>314</v>
      </c>
      <c r="AL138" s="32">
        <v>0</v>
      </c>
      <c r="AM138" s="32">
        <f t="shared" ref="AM138:AM162" si="143">AN138/1.18</f>
        <v>0</v>
      </c>
      <c r="AN138" s="32"/>
      <c r="AO138" s="32">
        <f t="shared" si="82"/>
        <v>0</v>
      </c>
      <c r="AP138" s="32">
        <f t="shared" si="81"/>
        <v>0</v>
      </c>
      <c r="AQ138" s="33">
        <f t="shared" si="83"/>
        <v>0</v>
      </c>
      <c r="AR138" s="82">
        <f t="shared" si="83"/>
        <v>0</v>
      </c>
      <c r="AS138" s="9"/>
      <c r="AT138" s="9"/>
      <c r="AU138" s="9"/>
      <c r="AV138" s="9"/>
      <c r="AW138" s="65"/>
      <c r="AX138" s="65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</row>
    <row r="139" spans="1:85" s="4" customFormat="1" ht="64.5" customHeight="1" outlineLevel="1" x14ac:dyDescent="0.25">
      <c r="A139" s="25">
        <f t="shared" si="139"/>
        <v>110</v>
      </c>
      <c r="B139" s="26" t="s">
        <v>269</v>
      </c>
      <c r="C139" s="27" t="s">
        <v>146</v>
      </c>
      <c r="D139" s="28" t="s">
        <v>18</v>
      </c>
      <c r="E139" s="29">
        <f t="shared" si="84"/>
        <v>5.2</v>
      </c>
      <c r="F139" s="29">
        <v>0</v>
      </c>
      <c r="G139" s="30">
        <f t="shared" si="138"/>
        <v>0</v>
      </c>
      <c r="H139" s="30"/>
      <c r="I139" s="30">
        <f t="shared" si="69"/>
        <v>0</v>
      </c>
      <c r="J139" s="31">
        <v>5.2</v>
      </c>
      <c r="K139" s="30">
        <f t="shared" si="70"/>
        <v>0</v>
      </c>
      <c r="L139" s="30"/>
      <c r="M139" s="30">
        <f t="shared" si="71"/>
        <v>0</v>
      </c>
      <c r="N139" s="29">
        <v>0</v>
      </c>
      <c r="O139" s="30">
        <f t="shared" si="72"/>
        <v>0</v>
      </c>
      <c r="P139" s="30"/>
      <c r="Q139" s="30">
        <f t="shared" si="73"/>
        <v>0</v>
      </c>
      <c r="R139" s="30">
        <v>0</v>
      </c>
      <c r="S139" s="30">
        <f t="shared" si="140"/>
        <v>0</v>
      </c>
      <c r="T139" s="30"/>
      <c r="U139" s="30">
        <f t="shared" si="74"/>
        <v>0</v>
      </c>
      <c r="V139" s="29">
        <v>0</v>
      </c>
      <c r="W139" s="30">
        <f t="shared" si="141"/>
        <v>0</v>
      </c>
      <c r="X139" s="30"/>
      <c r="Y139" s="30">
        <f t="shared" si="76"/>
        <v>0</v>
      </c>
      <c r="Z139" s="31">
        <v>0</v>
      </c>
      <c r="AA139" s="30">
        <f t="shared" si="142"/>
        <v>0</v>
      </c>
      <c r="AB139" s="30"/>
      <c r="AC139" s="30">
        <f t="shared" si="78"/>
        <v>0</v>
      </c>
      <c r="AD139" s="31">
        <v>0</v>
      </c>
      <c r="AE139" s="30">
        <f t="shared" si="79"/>
        <v>0</v>
      </c>
      <c r="AF139" s="30"/>
      <c r="AG139" s="30">
        <f t="shared" si="80"/>
        <v>0</v>
      </c>
      <c r="AH139" s="30">
        <f t="shared" si="99"/>
        <v>0</v>
      </c>
      <c r="AI139" s="30">
        <f t="shared" si="121"/>
        <v>0</v>
      </c>
      <c r="AJ139" s="31">
        <v>0</v>
      </c>
      <c r="AK139" s="30" t="s">
        <v>314</v>
      </c>
      <c r="AL139" s="32">
        <v>0</v>
      </c>
      <c r="AM139" s="32">
        <f t="shared" si="143"/>
        <v>0</v>
      </c>
      <c r="AN139" s="32"/>
      <c r="AO139" s="32">
        <f t="shared" si="82"/>
        <v>0</v>
      </c>
      <c r="AP139" s="32">
        <f t="shared" si="81"/>
        <v>0</v>
      </c>
      <c r="AQ139" s="33">
        <f t="shared" si="83"/>
        <v>0</v>
      </c>
      <c r="AR139" s="82">
        <f t="shared" si="83"/>
        <v>0</v>
      </c>
      <c r="AS139" s="9"/>
      <c r="AT139" s="9"/>
      <c r="AU139" s="9"/>
      <c r="AV139" s="9"/>
      <c r="AW139" s="65"/>
      <c r="AX139" s="65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62"/>
      <c r="BU139" s="62"/>
      <c r="BV139" s="62"/>
      <c r="BW139" s="62"/>
      <c r="BX139" s="62"/>
      <c r="BY139" s="62"/>
      <c r="BZ139" s="62"/>
      <c r="CA139" s="62"/>
      <c r="CB139" s="62"/>
      <c r="CC139" s="62"/>
      <c r="CD139" s="62"/>
      <c r="CE139" s="62"/>
      <c r="CF139" s="62"/>
      <c r="CG139" s="62"/>
    </row>
    <row r="140" spans="1:85" s="4" customFormat="1" ht="64.5" customHeight="1" outlineLevel="1" x14ac:dyDescent="0.25">
      <c r="A140" s="25">
        <f t="shared" si="139"/>
        <v>111</v>
      </c>
      <c r="B140" s="26" t="s">
        <v>269</v>
      </c>
      <c r="C140" s="27" t="s">
        <v>147</v>
      </c>
      <c r="D140" s="28" t="s">
        <v>18</v>
      </c>
      <c r="E140" s="29">
        <f t="shared" si="84"/>
        <v>5.2</v>
      </c>
      <c r="F140" s="29">
        <v>0</v>
      </c>
      <c r="G140" s="30">
        <f t="shared" si="138"/>
        <v>0</v>
      </c>
      <c r="H140" s="30"/>
      <c r="I140" s="30">
        <f t="shared" si="69"/>
        <v>0</v>
      </c>
      <c r="J140" s="31">
        <v>5.2</v>
      </c>
      <c r="K140" s="30">
        <f t="shared" si="70"/>
        <v>0</v>
      </c>
      <c r="L140" s="30"/>
      <c r="M140" s="30">
        <f t="shared" si="71"/>
        <v>0</v>
      </c>
      <c r="N140" s="29">
        <v>0</v>
      </c>
      <c r="O140" s="30">
        <f t="shared" si="72"/>
        <v>0</v>
      </c>
      <c r="P140" s="30"/>
      <c r="Q140" s="30">
        <f t="shared" si="73"/>
        <v>0</v>
      </c>
      <c r="R140" s="30">
        <v>0</v>
      </c>
      <c r="S140" s="30">
        <v>4.2</v>
      </c>
      <c r="T140" s="30"/>
      <c r="U140" s="30">
        <f t="shared" si="74"/>
        <v>0</v>
      </c>
      <c r="V140" s="29">
        <v>0</v>
      </c>
      <c r="W140" s="30">
        <f t="shared" si="141"/>
        <v>0</v>
      </c>
      <c r="X140" s="30"/>
      <c r="Y140" s="30">
        <f t="shared" si="76"/>
        <v>0</v>
      </c>
      <c r="Z140" s="31">
        <v>0</v>
      </c>
      <c r="AA140" s="30">
        <f t="shared" si="142"/>
        <v>0</v>
      </c>
      <c r="AB140" s="30"/>
      <c r="AC140" s="30">
        <f t="shared" si="78"/>
        <v>0</v>
      </c>
      <c r="AD140" s="31">
        <v>0</v>
      </c>
      <c r="AE140" s="30">
        <f t="shared" si="79"/>
        <v>0</v>
      </c>
      <c r="AF140" s="30"/>
      <c r="AG140" s="30">
        <f t="shared" si="80"/>
        <v>0</v>
      </c>
      <c r="AH140" s="30">
        <f t="shared" si="99"/>
        <v>0</v>
      </c>
      <c r="AI140" s="30">
        <f t="shared" si="121"/>
        <v>0</v>
      </c>
      <c r="AJ140" s="31">
        <v>0</v>
      </c>
      <c r="AK140" s="30" t="s">
        <v>314</v>
      </c>
      <c r="AL140" s="32">
        <v>0</v>
      </c>
      <c r="AM140" s="32">
        <f t="shared" si="143"/>
        <v>0</v>
      </c>
      <c r="AN140" s="32"/>
      <c r="AO140" s="32">
        <f t="shared" si="82"/>
        <v>0</v>
      </c>
      <c r="AP140" s="32">
        <f t="shared" si="81"/>
        <v>0</v>
      </c>
      <c r="AQ140" s="33">
        <f t="shared" ref="AQ140:AR203" si="144">AH140+AO140</f>
        <v>0</v>
      </c>
      <c r="AR140" s="82">
        <f t="shared" si="144"/>
        <v>0</v>
      </c>
      <c r="AS140" s="9"/>
      <c r="AT140" s="9"/>
      <c r="AU140" s="9"/>
      <c r="AV140" s="9"/>
      <c r="AW140" s="65"/>
      <c r="AX140" s="65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62"/>
      <c r="BU140" s="62"/>
      <c r="BV140" s="62"/>
      <c r="BW140" s="62"/>
      <c r="BX140" s="62"/>
      <c r="BY140" s="62"/>
      <c r="BZ140" s="62"/>
      <c r="CA140" s="62"/>
      <c r="CB140" s="62"/>
      <c r="CC140" s="62"/>
      <c r="CD140" s="62"/>
      <c r="CE140" s="62"/>
      <c r="CF140" s="62"/>
      <c r="CG140" s="62"/>
    </row>
    <row r="141" spans="1:85" s="4" customFormat="1" ht="64.5" customHeight="1" outlineLevel="1" x14ac:dyDescent="0.25">
      <c r="A141" s="25">
        <f t="shared" si="139"/>
        <v>112</v>
      </c>
      <c r="B141" s="26" t="s">
        <v>269</v>
      </c>
      <c r="C141" s="27" t="s">
        <v>148</v>
      </c>
      <c r="D141" s="28" t="s">
        <v>18</v>
      </c>
      <c r="E141" s="29">
        <f t="shared" ref="E141:E204" si="145">F141+J141+N141+R141+V141+Z141+AD141</f>
        <v>5.2</v>
      </c>
      <c r="F141" s="29">
        <v>0</v>
      </c>
      <c r="G141" s="30">
        <f t="shared" si="138"/>
        <v>0</v>
      </c>
      <c r="H141" s="30"/>
      <c r="I141" s="30">
        <f t="shared" si="69"/>
        <v>0</v>
      </c>
      <c r="J141" s="31">
        <v>5.2</v>
      </c>
      <c r="K141" s="30">
        <f t="shared" si="70"/>
        <v>0</v>
      </c>
      <c r="L141" s="30"/>
      <c r="M141" s="30">
        <f t="shared" si="71"/>
        <v>0</v>
      </c>
      <c r="N141" s="29">
        <v>0</v>
      </c>
      <c r="O141" s="30">
        <f t="shared" si="72"/>
        <v>0</v>
      </c>
      <c r="P141" s="30"/>
      <c r="Q141" s="30">
        <f t="shared" si="73"/>
        <v>0</v>
      </c>
      <c r="R141" s="30">
        <v>0</v>
      </c>
      <c r="S141" s="30">
        <f t="shared" ref="S141:S143" si="146">T141/1.18</f>
        <v>0</v>
      </c>
      <c r="T141" s="30"/>
      <c r="U141" s="30">
        <f t="shared" si="74"/>
        <v>0</v>
      </c>
      <c r="V141" s="29">
        <v>0</v>
      </c>
      <c r="W141" s="30">
        <f t="shared" si="141"/>
        <v>0</v>
      </c>
      <c r="X141" s="30"/>
      <c r="Y141" s="30">
        <f t="shared" si="76"/>
        <v>0</v>
      </c>
      <c r="Z141" s="31">
        <v>0</v>
      </c>
      <c r="AA141" s="30">
        <f t="shared" si="142"/>
        <v>0</v>
      </c>
      <c r="AB141" s="30"/>
      <c r="AC141" s="30">
        <f t="shared" si="78"/>
        <v>0</v>
      </c>
      <c r="AD141" s="31">
        <v>0</v>
      </c>
      <c r="AE141" s="30">
        <f t="shared" si="79"/>
        <v>0</v>
      </c>
      <c r="AF141" s="30"/>
      <c r="AG141" s="30">
        <f t="shared" si="80"/>
        <v>0</v>
      </c>
      <c r="AH141" s="30">
        <f t="shared" ref="AH141:AH204" si="147">AI141/1.18</f>
        <v>0</v>
      </c>
      <c r="AI141" s="30">
        <f t="shared" si="121"/>
        <v>0</v>
      </c>
      <c r="AJ141" s="31">
        <v>0</v>
      </c>
      <c r="AK141" s="30" t="s">
        <v>314</v>
      </c>
      <c r="AL141" s="32">
        <v>0</v>
      </c>
      <c r="AM141" s="32">
        <f t="shared" si="143"/>
        <v>0</v>
      </c>
      <c r="AN141" s="32"/>
      <c r="AO141" s="32">
        <f t="shared" si="82"/>
        <v>0</v>
      </c>
      <c r="AP141" s="32">
        <f t="shared" si="81"/>
        <v>0</v>
      </c>
      <c r="AQ141" s="33">
        <f t="shared" si="144"/>
        <v>0</v>
      </c>
      <c r="AR141" s="82">
        <f t="shared" si="144"/>
        <v>0</v>
      </c>
      <c r="AS141" s="9"/>
      <c r="AT141" s="9"/>
      <c r="AU141" s="9"/>
      <c r="AV141" s="9"/>
      <c r="AW141" s="65"/>
      <c r="AX141" s="65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62"/>
      <c r="BU141" s="62"/>
      <c r="BV141" s="62"/>
      <c r="BW141" s="62"/>
      <c r="BX141" s="62"/>
      <c r="BY141" s="62"/>
      <c r="BZ141" s="62"/>
      <c r="CA141" s="62"/>
      <c r="CB141" s="62"/>
      <c r="CC141" s="62"/>
      <c r="CD141" s="62"/>
      <c r="CE141" s="62"/>
      <c r="CF141" s="62"/>
      <c r="CG141" s="62"/>
    </row>
    <row r="142" spans="1:85" s="4" customFormat="1" ht="64.5" customHeight="1" outlineLevel="1" x14ac:dyDescent="0.25">
      <c r="A142" s="25">
        <f t="shared" si="139"/>
        <v>113</v>
      </c>
      <c r="B142" s="26" t="s">
        <v>269</v>
      </c>
      <c r="C142" s="27" t="s">
        <v>149</v>
      </c>
      <c r="D142" s="28" t="s">
        <v>18</v>
      </c>
      <c r="E142" s="29">
        <f t="shared" si="145"/>
        <v>5.2</v>
      </c>
      <c r="F142" s="29">
        <v>0</v>
      </c>
      <c r="G142" s="30">
        <f t="shared" si="138"/>
        <v>0</v>
      </c>
      <c r="H142" s="30"/>
      <c r="I142" s="30">
        <f t="shared" si="69"/>
        <v>0</v>
      </c>
      <c r="J142" s="31">
        <v>5.2</v>
      </c>
      <c r="K142" s="30">
        <f t="shared" si="70"/>
        <v>0</v>
      </c>
      <c r="L142" s="30"/>
      <c r="M142" s="30">
        <f t="shared" si="71"/>
        <v>0</v>
      </c>
      <c r="N142" s="29">
        <v>0</v>
      </c>
      <c r="O142" s="30">
        <f t="shared" si="72"/>
        <v>0</v>
      </c>
      <c r="P142" s="30"/>
      <c r="Q142" s="30">
        <f t="shared" si="73"/>
        <v>0</v>
      </c>
      <c r="R142" s="30">
        <v>0</v>
      </c>
      <c r="S142" s="30">
        <f t="shared" si="146"/>
        <v>0</v>
      </c>
      <c r="T142" s="30"/>
      <c r="U142" s="30">
        <f t="shared" si="74"/>
        <v>0</v>
      </c>
      <c r="V142" s="29">
        <v>0</v>
      </c>
      <c r="W142" s="30">
        <f t="shared" si="141"/>
        <v>0</v>
      </c>
      <c r="X142" s="30"/>
      <c r="Y142" s="30">
        <f t="shared" si="76"/>
        <v>0</v>
      </c>
      <c r="Z142" s="31">
        <v>0</v>
      </c>
      <c r="AA142" s="30">
        <f t="shared" si="142"/>
        <v>0</v>
      </c>
      <c r="AB142" s="30"/>
      <c r="AC142" s="30">
        <f t="shared" si="78"/>
        <v>0</v>
      </c>
      <c r="AD142" s="31">
        <v>0</v>
      </c>
      <c r="AE142" s="30">
        <f t="shared" si="79"/>
        <v>0</v>
      </c>
      <c r="AF142" s="30"/>
      <c r="AG142" s="30">
        <f t="shared" si="80"/>
        <v>0</v>
      </c>
      <c r="AH142" s="30">
        <f t="shared" si="147"/>
        <v>0</v>
      </c>
      <c r="AI142" s="30">
        <f t="shared" si="121"/>
        <v>0</v>
      </c>
      <c r="AJ142" s="31">
        <v>0</v>
      </c>
      <c r="AK142" s="30" t="s">
        <v>314</v>
      </c>
      <c r="AL142" s="32">
        <v>0</v>
      </c>
      <c r="AM142" s="32">
        <f t="shared" si="143"/>
        <v>0</v>
      </c>
      <c r="AN142" s="32"/>
      <c r="AO142" s="32">
        <f t="shared" si="82"/>
        <v>0</v>
      </c>
      <c r="AP142" s="32">
        <f t="shared" si="81"/>
        <v>0</v>
      </c>
      <c r="AQ142" s="33">
        <f t="shared" si="144"/>
        <v>0</v>
      </c>
      <c r="AR142" s="82">
        <f t="shared" si="144"/>
        <v>0</v>
      </c>
      <c r="AS142" s="9"/>
      <c r="AT142" s="9"/>
      <c r="AU142" s="9"/>
      <c r="AV142" s="9"/>
      <c r="AW142" s="65"/>
      <c r="AX142" s="65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  <c r="BZ142" s="62"/>
      <c r="CA142" s="62"/>
      <c r="CB142" s="62"/>
      <c r="CC142" s="62"/>
      <c r="CD142" s="62"/>
      <c r="CE142" s="62"/>
      <c r="CF142" s="62"/>
      <c r="CG142" s="62"/>
    </row>
    <row r="143" spans="1:85" s="4" customFormat="1" ht="64.5" customHeight="1" outlineLevel="1" x14ac:dyDescent="0.25">
      <c r="A143" s="25">
        <f t="shared" si="139"/>
        <v>114</v>
      </c>
      <c r="B143" s="26" t="s">
        <v>269</v>
      </c>
      <c r="C143" s="27" t="s">
        <v>150</v>
      </c>
      <c r="D143" s="28" t="s">
        <v>18</v>
      </c>
      <c r="E143" s="29">
        <f t="shared" si="145"/>
        <v>5.2</v>
      </c>
      <c r="F143" s="29">
        <v>0</v>
      </c>
      <c r="G143" s="30">
        <f t="shared" si="138"/>
        <v>0</v>
      </c>
      <c r="H143" s="30"/>
      <c r="I143" s="30">
        <f t="shared" ref="I143:I213" si="148">H143*F143</f>
        <v>0</v>
      </c>
      <c r="J143" s="31">
        <v>5.2</v>
      </c>
      <c r="K143" s="30">
        <f t="shared" ref="K143:K213" si="149">L143/1.18</f>
        <v>0</v>
      </c>
      <c r="L143" s="30"/>
      <c r="M143" s="30">
        <f t="shared" ref="M143:M213" si="150">L143*J143</f>
        <v>0</v>
      </c>
      <c r="N143" s="29">
        <v>0</v>
      </c>
      <c r="O143" s="30">
        <f t="shared" ref="O143:O213" si="151">P143/1.18</f>
        <v>0</v>
      </c>
      <c r="P143" s="30"/>
      <c r="Q143" s="30">
        <f t="shared" ref="Q143:Q213" si="152">P143*N143</f>
        <v>0</v>
      </c>
      <c r="R143" s="30">
        <v>0</v>
      </c>
      <c r="S143" s="30">
        <f t="shared" si="146"/>
        <v>0</v>
      </c>
      <c r="T143" s="30"/>
      <c r="U143" s="30">
        <f t="shared" ref="U143:U213" si="153">T143*R143</f>
        <v>0</v>
      </c>
      <c r="V143" s="29">
        <v>0</v>
      </c>
      <c r="W143" s="30">
        <f t="shared" si="141"/>
        <v>0</v>
      </c>
      <c r="X143" s="30"/>
      <c r="Y143" s="30">
        <f t="shared" ref="Y143:Y213" si="154">X143*V143</f>
        <v>0</v>
      </c>
      <c r="Z143" s="31">
        <v>0</v>
      </c>
      <c r="AA143" s="30">
        <f t="shared" si="142"/>
        <v>0</v>
      </c>
      <c r="AB143" s="30"/>
      <c r="AC143" s="30">
        <f t="shared" ref="AC143:AC213" si="155">AB143*Z143</f>
        <v>0</v>
      </c>
      <c r="AD143" s="31">
        <v>0</v>
      </c>
      <c r="AE143" s="30">
        <f t="shared" ref="AE143:AE213" si="156">AF143/1.18</f>
        <v>0</v>
      </c>
      <c r="AF143" s="30"/>
      <c r="AG143" s="30">
        <f t="shared" ref="AG143:AG213" si="157">AF143*AD143</f>
        <v>0</v>
      </c>
      <c r="AH143" s="30">
        <f t="shared" si="147"/>
        <v>0</v>
      </c>
      <c r="AI143" s="30">
        <f t="shared" si="121"/>
        <v>0</v>
      </c>
      <c r="AJ143" s="31">
        <v>0</v>
      </c>
      <c r="AK143" s="30" t="s">
        <v>314</v>
      </c>
      <c r="AL143" s="32">
        <v>0</v>
      </c>
      <c r="AM143" s="32">
        <f t="shared" si="143"/>
        <v>0</v>
      </c>
      <c r="AN143" s="32"/>
      <c r="AO143" s="32">
        <f t="shared" si="82"/>
        <v>0</v>
      </c>
      <c r="AP143" s="32">
        <f t="shared" ref="AP143:AP213" si="158">AN143*AJ143</f>
        <v>0</v>
      </c>
      <c r="AQ143" s="33">
        <f t="shared" si="144"/>
        <v>0</v>
      </c>
      <c r="AR143" s="82">
        <f t="shared" si="144"/>
        <v>0</v>
      </c>
      <c r="AS143" s="9"/>
      <c r="AT143" s="9"/>
      <c r="AU143" s="9"/>
      <c r="AV143" s="9"/>
      <c r="AW143" s="65"/>
      <c r="AX143" s="65"/>
      <c r="AY143" s="62"/>
      <c r="AZ143" s="62"/>
      <c r="BA143" s="62"/>
      <c r="BB143" s="62"/>
      <c r="BC143" s="62"/>
      <c r="BD143" s="62"/>
      <c r="BE143" s="62"/>
      <c r="BF143" s="62"/>
      <c r="BG143" s="62"/>
      <c r="BH143" s="62"/>
      <c r="BI143" s="62"/>
      <c r="BJ143" s="62"/>
      <c r="BK143" s="62"/>
      <c r="BL143" s="62"/>
      <c r="BM143" s="62"/>
      <c r="BN143" s="62"/>
      <c r="BO143" s="62"/>
      <c r="BP143" s="62"/>
      <c r="BQ143" s="62"/>
      <c r="BR143" s="62"/>
      <c r="BS143" s="62"/>
      <c r="BT143" s="62"/>
      <c r="BU143" s="62"/>
      <c r="BV143" s="62"/>
      <c r="BW143" s="62"/>
      <c r="BX143" s="62"/>
      <c r="BY143" s="62"/>
      <c r="BZ143" s="62"/>
      <c r="CA143" s="62"/>
      <c r="CB143" s="62"/>
      <c r="CC143" s="62"/>
      <c r="CD143" s="62"/>
      <c r="CE143" s="62"/>
      <c r="CF143" s="62"/>
      <c r="CG143" s="62"/>
    </row>
    <row r="144" spans="1:85" s="4" customFormat="1" ht="64.5" customHeight="1" outlineLevel="1" x14ac:dyDescent="0.25">
      <c r="A144" s="25">
        <f t="shared" si="139"/>
        <v>115</v>
      </c>
      <c r="B144" s="26" t="s">
        <v>269</v>
      </c>
      <c r="C144" s="27" t="s">
        <v>151</v>
      </c>
      <c r="D144" s="28" t="s">
        <v>18</v>
      </c>
      <c r="E144" s="29">
        <f t="shared" si="145"/>
        <v>5.2</v>
      </c>
      <c r="F144" s="29">
        <v>0</v>
      </c>
      <c r="G144" s="30">
        <f t="shared" si="138"/>
        <v>0</v>
      </c>
      <c r="H144" s="30"/>
      <c r="I144" s="30">
        <f t="shared" si="148"/>
        <v>0</v>
      </c>
      <c r="J144" s="31">
        <v>5.2</v>
      </c>
      <c r="K144" s="30">
        <f t="shared" si="149"/>
        <v>0</v>
      </c>
      <c r="L144" s="30"/>
      <c r="M144" s="30">
        <f t="shared" si="150"/>
        <v>0</v>
      </c>
      <c r="N144" s="29">
        <v>0</v>
      </c>
      <c r="O144" s="30">
        <f t="shared" si="151"/>
        <v>0</v>
      </c>
      <c r="P144" s="30"/>
      <c r="Q144" s="30">
        <f t="shared" si="152"/>
        <v>0</v>
      </c>
      <c r="R144" s="30">
        <v>0</v>
      </c>
      <c r="S144" s="30">
        <v>4.2</v>
      </c>
      <c r="T144" s="30"/>
      <c r="U144" s="30">
        <f t="shared" si="153"/>
        <v>0</v>
      </c>
      <c r="V144" s="29">
        <v>0</v>
      </c>
      <c r="W144" s="30">
        <f t="shared" si="141"/>
        <v>0</v>
      </c>
      <c r="X144" s="30"/>
      <c r="Y144" s="30">
        <f t="shared" si="154"/>
        <v>0</v>
      </c>
      <c r="Z144" s="31">
        <v>0</v>
      </c>
      <c r="AA144" s="30">
        <f t="shared" si="142"/>
        <v>0</v>
      </c>
      <c r="AB144" s="30"/>
      <c r="AC144" s="30">
        <f t="shared" si="155"/>
        <v>0</v>
      </c>
      <c r="AD144" s="31">
        <v>0</v>
      </c>
      <c r="AE144" s="30">
        <f t="shared" si="156"/>
        <v>0</v>
      </c>
      <c r="AF144" s="30"/>
      <c r="AG144" s="30">
        <f t="shared" si="157"/>
        <v>0</v>
      </c>
      <c r="AH144" s="30">
        <f t="shared" si="147"/>
        <v>0</v>
      </c>
      <c r="AI144" s="30">
        <f t="shared" si="121"/>
        <v>0</v>
      </c>
      <c r="AJ144" s="31">
        <v>0</v>
      </c>
      <c r="AK144" s="30" t="s">
        <v>314</v>
      </c>
      <c r="AL144" s="32">
        <v>0</v>
      </c>
      <c r="AM144" s="32">
        <f t="shared" si="143"/>
        <v>0</v>
      </c>
      <c r="AN144" s="32"/>
      <c r="AO144" s="32">
        <f t="shared" ref="AO144:AO213" si="159">AM144*AJ144</f>
        <v>0</v>
      </c>
      <c r="AP144" s="32">
        <f t="shared" si="158"/>
        <v>0</v>
      </c>
      <c r="AQ144" s="33">
        <f t="shared" si="144"/>
        <v>0</v>
      </c>
      <c r="AR144" s="82">
        <f t="shared" si="144"/>
        <v>0</v>
      </c>
      <c r="AS144" s="9"/>
      <c r="AT144" s="9"/>
      <c r="AU144" s="9"/>
      <c r="AV144" s="9"/>
      <c r="AW144" s="65"/>
      <c r="AX144" s="65"/>
      <c r="AY144" s="62"/>
      <c r="AZ144" s="62"/>
      <c r="BA144" s="62"/>
      <c r="BB144" s="62"/>
      <c r="BC144" s="62"/>
      <c r="BD144" s="62"/>
      <c r="BE144" s="62"/>
      <c r="BF144" s="62"/>
      <c r="BG144" s="62"/>
      <c r="BH144" s="62"/>
      <c r="BI144" s="62"/>
      <c r="BJ144" s="62"/>
      <c r="BK144" s="62"/>
      <c r="BL144" s="62"/>
      <c r="BM144" s="62"/>
      <c r="BN144" s="62"/>
      <c r="BO144" s="62"/>
      <c r="BP144" s="62"/>
      <c r="BQ144" s="62"/>
      <c r="BR144" s="62"/>
      <c r="BS144" s="62"/>
      <c r="BT144" s="62"/>
      <c r="BU144" s="62"/>
      <c r="BV144" s="62"/>
      <c r="BW144" s="62"/>
      <c r="BX144" s="62"/>
      <c r="BY144" s="62"/>
      <c r="BZ144" s="62"/>
      <c r="CA144" s="62"/>
      <c r="CB144" s="62"/>
      <c r="CC144" s="62"/>
      <c r="CD144" s="62"/>
      <c r="CE144" s="62"/>
      <c r="CF144" s="62"/>
      <c r="CG144" s="62"/>
    </row>
    <row r="145" spans="1:85" s="4" customFormat="1" ht="64.5" customHeight="1" outlineLevel="1" x14ac:dyDescent="0.25">
      <c r="A145" s="25">
        <f t="shared" si="139"/>
        <v>116</v>
      </c>
      <c r="B145" s="26" t="s">
        <v>269</v>
      </c>
      <c r="C145" s="27" t="s">
        <v>152</v>
      </c>
      <c r="D145" s="28" t="s">
        <v>18</v>
      </c>
      <c r="E145" s="29">
        <f t="shared" si="145"/>
        <v>5.2</v>
      </c>
      <c r="F145" s="29">
        <v>0</v>
      </c>
      <c r="G145" s="30">
        <f t="shared" si="138"/>
        <v>0</v>
      </c>
      <c r="H145" s="30"/>
      <c r="I145" s="30">
        <f t="shared" si="148"/>
        <v>0</v>
      </c>
      <c r="J145" s="31">
        <v>5.2</v>
      </c>
      <c r="K145" s="30">
        <f t="shared" si="149"/>
        <v>0</v>
      </c>
      <c r="L145" s="30"/>
      <c r="M145" s="30">
        <f t="shared" si="150"/>
        <v>0</v>
      </c>
      <c r="N145" s="29">
        <v>0</v>
      </c>
      <c r="O145" s="30">
        <f t="shared" si="151"/>
        <v>0</v>
      </c>
      <c r="P145" s="30"/>
      <c r="Q145" s="30">
        <f t="shared" si="152"/>
        <v>0</v>
      </c>
      <c r="R145" s="30">
        <v>0</v>
      </c>
      <c r="S145" s="30">
        <f t="shared" ref="S145:S147" si="160">T145/1.18</f>
        <v>0</v>
      </c>
      <c r="T145" s="30"/>
      <c r="U145" s="30">
        <f t="shared" si="153"/>
        <v>0</v>
      </c>
      <c r="V145" s="29">
        <v>0</v>
      </c>
      <c r="W145" s="30">
        <f t="shared" si="141"/>
        <v>0</v>
      </c>
      <c r="X145" s="30"/>
      <c r="Y145" s="30">
        <f t="shared" si="154"/>
        <v>0</v>
      </c>
      <c r="Z145" s="31">
        <v>0</v>
      </c>
      <c r="AA145" s="30">
        <f t="shared" si="142"/>
        <v>0</v>
      </c>
      <c r="AB145" s="30"/>
      <c r="AC145" s="30">
        <f t="shared" si="155"/>
        <v>0</v>
      </c>
      <c r="AD145" s="31">
        <v>0</v>
      </c>
      <c r="AE145" s="30">
        <f t="shared" si="156"/>
        <v>0</v>
      </c>
      <c r="AF145" s="30"/>
      <c r="AG145" s="30">
        <f t="shared" si="157"/>
        <v>0</v>
      </c>
      <c r="AH145" s="30">
        <f t="shared" si="147"/>
        <v>0</v>
      </c>
      <c r="AI145" s="30">
        <f t="shared" si="121"/>
        <v>0</v>
      </c>
      <c r="AJ145" s="31">
        <v>0</v>
      </c>
      <c r="AK145" s="30" t="s">
        <v>314</v>
      </c>
      <c r="AL145" s="32">
        <v>0</v>
      </c>
      <c r="AM145" s="32">
        <f t="shared" si="143"/>
        <v>0</v>
      </c>
      <c r="AN145" s="32"/>
      <c r="AO145" s="32">
        <f t="shared" si="159"/>
        <v>0</v>
      </c>
      <c r="AP145" s="32">
        <f t="shared" si="158"/>
        <v>0</v>
      </c>
      <c r="AQ145" s="33">
        <f t="shared" si="144"/>
        <v>0</v>
      </c>
      <c r="AR145" s="82">
        <f t="shared" si="144"/>
        <v>0</v>
      </c>
      <c r="AS145" s="9"/>
      <c r="AT145" s="9"/>
      <c r="AU145" s="9"/>
      <c r="AV145" s="9"/>
      <c r="AW145" s="65"/>
      <c r="AX145" s="65"/>
      <c r="AY145" s="62"/>
      <c r="AZ145" s="62"/>
      <c r="BA145" s="62"/>
      <c r="BB145" s="62"/>
      <c r="BC145" s="62"/>
      <c r="BD145" s="62"/>
      <c r="BE145" s="62"/>
      <c r="BF145" s="62"/>
      <c r="BG145" s="62"/>
      <c r="BH145" s="62"/>
      <c r="BI145" s="62"/>
      <c r="BJ145" s="62"/>
      <c r="BK145" s="62"/>
      <c r="BL145" s="62"/>
      <c r="BM145" s="62"/>
      <c r="BN145" s="62"/>
      <c r="BO145" s="62"/>
      <c r="BP145" s="62"/>
      <c r="BQ145" s="62"/>
      <c r="BR145" s="62"/>
      <c r="BS145" s="62"/>
      <c r="BT145" s="62"/>
      <c r="BU145" s="62"/>
      <c r="BV145" s="62"/>
      <c r="BW145" s="62"/>
      <c r="BX145" s="62"/>
      <c r="BY145" s="62"/>
      <c r="BZ145" s="62"/>
      <c r="CA145" s="62"/>
      <c r="CB145" s="62"/>
      <c r="CC145" s="62"/>
      <c r="CD145" s="62"/>
      <c r="CE145" s="62"/>
      <c r="CF145" s="62"/>
      <c r="CG145" s="62"/>
    </row>
    <row r="146" spans="1:85" s="4" customFormat="1" ht="64.5" customHeight="1" outlineLevel="1" x14ac:dyDescent="0.25">
      <c r="A146" s="25">
        <f t="shared" si="139"/>
        <v>117</v>
      </c>
      <c r="B146" s="26" t="s">
        <v>269</v>
      </c>
      <c r="C146" s="27" t="s">
        <v>153</v>
      </c>
      <c r="D146" s="28" t="s">
        <v>18</v>
      </c>
      <c r="E146" s="29">
        <f t="shared" si="145"/>
        <v>5.2</v>
      </c>
      <c r="F146" s="29">
        <v>0</v>
      </c>
      <c r="G146" s="30">
        <f t="shared" si="138"/>
        <v>0</v>
      </c>
      <c r="H146" s="30"/>
      <c r="I146" s="30">
        <f t="shared" si="148"/>
        <v>0</v>
      </c>
      <c r="J146" s="31">
        <v>5.2</v>
      </c>
      <c r="K146" s="30">
        <f t="shared" si="149"/>
        <v>0</v>
      </c>
      <c r="L146" s="30"/>
      <c r="M146" s="30">
        <f t="shared" si="150"/>
        <v>0</v>
      </c>
      <c r="N146" s="29">
        <v>0</v>
      </c>
      <c r="O146" s="30">
        <f t="shared" si="151"/>
        <v>0</v>
      </c>
      <c r="P146" s="30"/>
      <c r="Q146" s="30">
        <f t="shared" si="152"/>
        <v>0</v>
      </c>
      <c r="R146" s="30">
        <v>0</v>
      </c>
      <c r="S146" s="30">
        <f t="shared" si="160"/>
        <v>0</v>
      </c>
      <c r="T146" s="30"/>
      <c r="U146" s="30">
        <f t="shared" si="153"/>
        <v>0</v>
      </c>
      <c r="V146" s="29">
        <v>0</v>
      </c>
      <c r="W146" s="30">
        <f t="shared" si="141"/>
        <v>0</v>
      </c>
      <c r="X146" s="30"/>
      <c r="Y146" s="30">
        <f t="shared" si="154"/>
        <v>0</v>
      </c>
      <c r="Z146" s="31">
        <v>0</v>
      </c>
      <c r="AA146" s="30">
        <f t="shared" si="142"/>
        <v>0</v>
      </c>
      <c r="AB146" s="30"/>
      <c r="AC146" s="30">
        <f t="shared" si="155"/>
        <v>0</v>
      </c>
      <c r="AD146" s="31">
        <v>0</v>
      </c>
      <c r="AE146" s="30">
        <f t="shared" si="156"/>
        <v>0</v>
      </c>
      <c r="AF146" s="30"/>
      <c r="AG146" s="30">
        <f t="shared" si="157"/>
        <v>0</v>
      </c>
      <c r="AH146" s="30">
        <f t="shared" si="147"/>
        <v>0</v>
      </c>
      <c r="AI146" s="30">
        <f t="shared" si="121"/>
        <v>0</v>
      </c>
      <c r="AJ146" s="31">
        <v>0</v>
      </c>
      <c r="AK146" s="30" t="s">
        <v>314</v>
      </c>
      <c r="AL146" s="32">
        <v>0</v>
      </c>
      <c r="AM146" s="32">
        <f t="shared" si="143"/>
        <v>0</v>
      </c>
      <c r="AN146" s="32"/>
      <c r="AO146" s="32">
        <f t="shared" si="159"/>
        <v>0</v>
      </c>
      <c r="AP146" s="32">
        <f t="shared" si="158"/>
        <v>0</v>
      </c>
      <c r="AQ146" s="33">
        <f t="shared" si="144"/>
        <v>0</v>
      </c>
      <c r="AR146" s="82">
        <f t="shared" si="144"/>
        <v>0</v>
      </c>
      <c r="AS146" s="9"/>
      <c r="AT146" s="9"/>
      <c r="AU146" s="9"/>
      <c r="AV146" s="9"/>
      <c r="AW146" s="65"/>
      <c r="AX146" s="65"/>
      <c r="AY146" s="62"/>
      <c r="AZ146" s="62"/>
      <c r="BA146" s="62"/>
      <c r="BB146" s="62"/>
      <c r="BC146" s="62"/>
      <c r="BD146" s="62"/>
      <c r="BE146" s="62"/>
      <c r="BF146" s="62"/>
      <c r="BG146" s="62"/>
      <c r="BH146" s="62"/>
      <c r="BI146" s="62"/>
      <c r="BJ146" s="62"/>
      <c r="BK146" s="62"/>
      <c r="BL146" s="62"/>
      <c r="BM146" s="62"/>
      <c r="BN146" s="62"/>
      <c r="BO146" s="62"/>
      <c r="BP146" s="62"/>
      <c r="BQ146" s="62"/>
      <c r="BR146" s="62"/>
      <c r="BS146" s="62"/>
      <c r="BT146" s="62"/>
      <c r="BU146" s="62"/>
      <c r="BV146" s="62"/>
      <c r="BW146" s="62"/>
      <c r="BX146" s="62"/>
      <c r="BY146" s="62"/>
      <c r="BZ146" s="62"/>
      <c r="CA146" s="62"/>
      <c r="CB146" s="62"/>
      <c r="CC146" s="62"/>
      <c r="CD146" s="62"/>
      <c r="CE146" s="62"/>
      <c r="CF146" s="62"/>
      <c r="CG146" s="62"/>
    </row>
    <row r="147" spans="1:85" s="4" customFormat="1" ht="64.5" customHeight="1" outlineLevel="1" x14ac:dyDescent="0.25">
      <c r="A147" s="25">
        <f t="shared" si="139"/>
        <v>118</v>
      </c>
      <c r="B147" s="26" t="s">
        <v>269</v>
      </c>
      <c r="C147" s="27" t="s">
        <v>154</v>
      </c>
      <c r="D147" s="28" t="s">
        <v>18</v>
      </c>
      <c r="E147" s="29">
        <f t="shared" si="145"/>
        <v>5.2</v>
      </c>
      <c r="F147" s="29">
        <v>0</v>
      </c>
      <c r="G147" s="30">
        <f t="shared" si="138"/>
        <v>0</v>
      </c>
      <c r="H147" s="30"/>
      <c r="I147" s="30">
        <f t="shared" si="148"/>
        <v>0</v>
      </c>
      <c r="J147" s="31">
        <v>5.2</v>
      </c>
      <c r="K147" s="30">
        <f t="shared" si="149"/>
        <v>0</v>
      </c>
      <c r="L147" s="30"/>
      <c r="M147" s="30">
        <f t="shared" si="150"/>
        <v>0</v>
      </c>
      <c r="N147" s="29">
        <v>0</v>
      </c>
      <c r="O147" s="30">
        <f t="shared" si="151"/>
        <v>0</v>
      </c>
      <c r="P147" s="30"/>
      <c r="Q147" s="30">
        <f t="shared" si="152"/>
        <v>0</v>
      </c>
      <c r="R147" s="30">
        <v>0</v>
      </c>
      <c r="S147" s="30">
        <f t="shared" si="160"/>
        <v>0</v>
      </c>
      <c r="T147" s="30"/>
      <c r="U147" s="30">
        <f t="shared" si="153"/>
        <v>0</v>
      </c>
      <c r="V147" s="29">
        <v>0</v>
      </c>
      <c r="W147" s="30">
        <f t="shared" si="141"/>
        <v>0</v>
      </c>
      <c r="X147" s="30"/>
      <c r="Y147" s="30">
        <f t="shared" si="154"/>
        <v>0</v>
      </c>
      <c r="Z147" s="31">
        <v>0</v>
      </c>
      <c r="AA147" s="30">
        <f t="shared" si="142"/>
        <v>0</v>
      </c>
      <c r="AB147" s="30"/>
      <c r="AC147" s="30">
        <f t="shared" si="155"/>
        <v>0</v>
      </c>
      <c r="AD147" s="31">
        <v>0</v>
      </c>
      <c r="AE147" s="30">
        <f t="shared" si="156"/>
        <v>0</v>
      </c>
      <c r="AF147" s="30"/>
      <c r="AG147" s="30">
        <f t="shared" si="157"/>
        <v>0</v>
      </c>
      <c r="AH147" s="30">
        <f t="shared" si="147"/>
        <v>0</v>
      </c>
      <c r="AI147" s="30">
        <f t="shared" si="121"/>
        <v>0</v>
      </c>
      <c r="AJ147" s="31">
        <v>0</v>
      </c>
      <c r="AK147" s="30" t="s">
        <v>314</v>
      </c>
      <c r="AL147" s="32">
        <v>0</v>
      </c>
      <c r="AM147" s="32">
        <f t="shared" si="143"/>
        <v>0</v>
      </c>
      <c r="AN147" s="32"/>
      <c r="AO147" s="32">
        <f t="shared" si="159"/>
        <v>0</v>
      </c>
      <c r="AP147" s="32">
        <f t="shared" si="158"/>
        <v>0</v>
      </c>
      <c r="AQ147" s="33">
        <f t="shared" si="144"/>
        <v>0</v>
      </c>
      <c r="AR147" s="82">
        <f t="shared" si="144"/>
        <v>0</v>
      </c>
      <c r="AS147" s="9"/>
      <c r="AT147" s="9"/>
      <c r="AU147" s="9"/>
      <c r="AV147" s="9"/>
      <c r="AW147" s="65"/>
      <c r="AX147" s="65"/>
      <c r="AY147" s="62"/>
      <c r="AZ147" s="62"/>
      <c r="BA147" s="62"/>
      <c r="BB147" s="62"/>
      <c r="BC147" s="62"/>
      <c r="BD147" s="62"/>
      <c r="BE147" s="62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62"/>
      <c r="BT147" s="62"/>
      <c r="BU147" s="62"/>
      <c r="BV147" s="62"/>
      <c r="BW147" s="62"/>
      <c r="BX147" s="62"/>
      <c r="BY147" s="62"/>
      <c r="BZ147" s="62"/>
      <c r="CA147" s="62"/>
      <c r="CB147" s="62"/>
      <c r="CC147" s="62"/>
      <c r="CD147" s="62"/>
      <c r="CE147" s="62"/>
      <c r="CF147" s="62"/>
      <c r="CG147" s="62"/>
    </row>
    <row r="148" spans="1:85" s="4" customFormat="1" ht="64.5" customHeight="1" outlineLevel="1" x14ac:dyDescent="0.25">
      <c r="A148" s="25">
        <f t="shared" si="139"/>
        <v>119</v>
      </c>
      <c r="B148" s="26" t="s">
        <v>269</v>
      </c>
      <c r="C148" s="27" t="s">
        <v>155</v>
      </c>
      <c r="D148" s="28" t="s">
        <v>18</v>
      </c>
      <c r="E148" s="29">
        <f t="shared" si="145"/>
        <v>5.2</v>
      </c>
      <c r="F148" s="29">
        <v>0</v>
      </c>
      <c r="G148" s="30">
        <f t="shared" si="138"/>
        <v>0</v>
      </c>
      <c r="H148" s="30"/>
      <c r="I148" s="30">
        <f t="shared" si="148"/>
        <v>0</v>
      </c>
      <c r="J148" s="31">
        <v>5.2</v>
      </c>
      <c r="K148" s="30">
        <f t="shared" si="149"/>
        <v>0</v>
      </c>
      <c r="L148" s="30"/>
      <c r="M148" s="30">
        <f t="shared" si="150"/>
        <v>0</v>
      </c>
      <c r="N148" s="29">
        <v>0</v>
      </c>
      <c r="O148" s="30">
        <f t="shared" si="151"/>
        <v>0</v>
      </c>
      <c r="P148" s="30"/>
      <c r="Q148" s="30">
        <f t="shared" si="152"/>
        <v>0</v>
      </c>
      <c r="R148" s="30">
        <v>0</v>
      </c>
      <c r="S148" s="30">
        <v>4.2</v>
      </c>
      <c r="T148" s="30"/>
      <c r="U148" s="30">
        <f t="shared" si="153"/>
        <v>0</v>
      </c>
      <c r="V148" s="29">
        <v>0</v>
      </c>
      <c r="W148" s="30">
        <f t="shared" si="141"/>
        <v>0</v>
      </c>
      <c r="X148" s="30"/>
      <c r="Y148" s="30">
        <f t="shared" si="154"/>
        <v>0</v>
      </c>
      <c r="Z148" s="31">
        <v>0</v>
      </c>
      <c r="AA148" s="30">
        <f t="shared" si="142"/>
        <v>0</v>
      </c>
      <c r="AB148" s="30"/>
      <c r="AC148" s="30">
        <f t="shared" si="155"/>
        <v>0</v>
      </c>
      <c r="AD148" s="31">
        <v>0</v>
      </c>
      <c r="AE148" s="30">
        <f t="shared" si="156"/>
        <v>0</v>
      </c>
      <c r="AF148" s="30"/>
      <c r="AG148" s="30">
        <f t="shared" si="157"/>
        <v>0</v>
      </c>
      <c r="AH148" s="30">
        <f t="shared" si="147"/>
        <v>0</v>
      </c>
      <c r="AI148" s="30">
        <f t="shared" si="121"/>
        <v>0</v>
      </c>
      <c r="AJ148" s="31">
        <v>0</v>
      </c>
      <c r="AK148" s="30" t="s">
        <v>314</v>
      </c>
      <c r="AL148" s="32">
        <v>0</v>
      </c>
      <c r="AM148" s="32">
        <f t="shared" si="143"/>
        <v>0</v>
      </c>
      <c r="AN148" s="32"/>
      <c r="AO148" s="32">
        <f t="shared" si="159"/>
        <v>0</v>
      </c>
      <c r="AP148" s="32">
        <f t="shared" si="158"/>
        <v>0</v>
      </c>
      <c r="AQ148" s="33">
        <f t="shared" si="144"/>
        <v>0</v>
      </c>
      <c r="AR148" s="82">
        <f t="shared" si="144"/>
        <v>0</v>
      </c>
      <c r="AS148" s="9"/>
      <c r="AT148" s="9"/>
      <c r="AU148" s="9"/>
      <c r="AV148" s="9"/>
      <c r="AW148" s="65"/>
      <c r="AX148" s="65"/>
      <c r="AY148" s="62"/>
      <c r="AZ148" s="62"/>
      <c r="BA148" s="62"/>
      <c r="BB148" s="62"/>
      <c r="BC148" s="62"/>
      <c r="BD148" s="62"/>
      <c r="BE148" s="62"/>
      <c r="BF148" s="62"/>
      <c r="BG148" s="62"/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62"/>
      <c r="BU148" s="62"/>
      <c r="BV148" s="62"/>
      <c r="BW148" s="62"/>
      <c r="BX148" s="62"/>
      <c r="BY148" s="62"/>
      <c r="BZ148" s="62"/>
      <c r="CA148" s="62"/>
      <c r="CB148" s="62"/>
      <c r="CC148" s="62"/>
      <c r="CD148" s="62"/>
      <c r="CE148" s="62"/>
      <c r="CF148" s="62"/>
      <c r="CG148" s="62"/>
    </row>
    <row r="149" spans="1:85" s="4" customFormat="1" ht="64.5" customHeight="1" outlineLevel="1" x14ac:dyDescent="0.25">
      <c r="A149" s="25">
        <f t="shared" si="139"/>
        <v>120</v>
      </c>
      <c r="B149" s="26" t="s">
        <v>269</v>
      </c>
      <c r="C149" s="27" t="s">
        <v>156</v>
      </c>
      <c r="D149" s="28" t="s">
        <v>18</v>
      </c>
      <c r="E149" s="29">
        <f t="shared" si="145"/>
        <v>5.2</v>
      </c>
      <c r="F149" s="29">
        <v>0</v>
      </c>
      <c r="G149" s="30">
        <f t="shared" si="138"/>
        <v>0</v>
      </c>
      <c r="H149" s="30"/>
      <c r="I149" s="30">
        <f t="shared" si="148"/>
        <v>0</v>
      </c>
      <c r="J149" s="31">
        <v>5.2</v>
      </c>
      <c r="K149" s="30">
        <f t="shared" si="149"/>
        <v>0</v>
      </c>
      <c r="L149" s="30"/>
      <c r="M149" s="30">
        <f t="shared" si="150"/>
        <v>0</v>
      </c>
      <c r="N149" s="29">
        <v>0</v>
      </c>
      <c r="O149" s="30">
        <f t="shared" si="151"/>
        <v>0</v>
      </c>
      <c r="P149" s="30"/>
      <c r="Q149" s="30">
        <f t="shared" si="152"/>
        <v>0</v>
      </c>
      <c r="R149" s="30">
        <v>0</v>
      </c>
      <c r="S149" s="30">
        <f t="shared" ref="S149:S151" si="161">T149/1.18</f>
        <v>0</v>
      </c>
      <c r="T149" s="30"/>
      <c r="U149" s="30">
        <f t="shared" si="153"/>
        <v>0</v>
      </c>
      <c r="V149" s="29">
        <v>0</v>
      </c>
      <c r="W149" s="30">
        <f t="shared" si="141"/>
        <v>0</v>
      </c>
      <c r="X149" s="30"/>
      <c r="Y149" s="30">
        <f t="shared" si="154"/>
        <v>0</v>
      </c>
      <c r="Z149" s="31">
        <v>0</v>
      </c>
      <c r="AA149" s="30">
        <f t="shared" si="142"/>
        <v>0</v>
      </c>
      <c r="AB149" s="30"/>
      <c r="AC149" s="30">
        <f t="shared" si="155"/>
        <v>0</v>
      </c>
      <c r="AD149" s="31">
        <v>0</v>
      </c>
      <c r="AE149" s="30">
        <f t="shared" si="156"/>
        <v>0</v>
      </c>
      <c r="AF149" s="30"/>
      <c r="AG149" s="30">
        <f t="shared" si="157"/>
        <v>0</v>
      </c>
      <c r="AH149" s="30">
        <f t="shared" si="147"/>
        <v>0</v>
      </c>
      <c r="AI149" s="30">
        <f t="shared" si="121"/>
        <v>0</v>
      </c>
      <c r="AJ149" s="31">
        <v>0</v>
      </c>
      <c r="AK149" s="30" t="s">
        <v>314</v>
      </c>
      <c r="AL149" s="32">
        <v>0</v>
      </c>
      <c r="AM149" s="32">
        <f t="shared" si="143"/>
        <v>0</v>
      </c>
      <c r="AN149" s="32"/>
      <c r="AO149" s="32">
        <f t="shared" si="159"/>
        <v>0</v>
      </c>
      <c r="AP149" s="32">
        <f t="shared" si="158"/>
        <v>0</v>
      </c>
      <c r="AQ149" s="33">
        <f t="shared" si="144"/>
        <v>0</v>
      </c>
      <c r="AR149" s="82">
        <f t="shared" si="144"/>
        <v>0</v>
      </c>
      <c r="AS149" s="9"/>
      <c r="AT149" s="9"/>
      <c r="AU149" s="9"/>
      <c r="AV149" s="9"/>
      <c r="AW149" s="65"/>
      <c r="AX149" s="65"/>
      <c r="AY149" s="62"/>
      <c r="AZ149" s="62"/>
      <c r="BA149" s="62"/>
      <c r="BB149" s="62"/>
      <c r="BC149" s="62"/>
      <c r="BD149" s="62"/>
      <c r="BE149" s="62"/>
      <c r="BF149" s="62"/>
      <c r="BG149" s="62"/>
      <c r="BH149" s="62"/>
      <c r="BI149" s="62"/>
      <c r="BJ149" s="62"/>
      <c r="BK149" s="62"/>
      <c r="BL149" s="62"/>
      <c r="BM149" s="62"/>
      <c r="BN149" s="62"/>
      <c r="BO149" s="62"/>
      <c r="BP149" s="62"/>
      <c r="BQ149" s="62"/>
      <c r="BR149" s="62"/>
      <c r="BS149" s="62"/>
      <c r="BT149" s="62"/>
      <c r="BU149" s="62"/>
      <c r="BV149" s="62"/>
      <c r="BW149" s="62"/>
      <c r="BX149" s="62"/>
      <c r="BY149" s="62"/>
      <c r="BZ149" s="62"/>
      <c r="CA149" s="62"/>
      <c r="CB149" s="62"/>
      <c r="CC149" s="62"/>
      <c r="CD149" s="62"/>
      <c r="CE149" s="62"/>
      <c r="CF149" s="62"/>
      <c r="CG149" s="62"/>
    </row>
    <row r="150" spans="1:85" s="4" customFormat="1" ht="64.5" customHeight="1" outlineLevel="1" x14ac:dyDescent="0.25">
      <c r="A150" s="25">
        <f t="shared" si="139"/>
        <v>121</v>
      </c>
      <c r="B150" s="26" t="s">
        <v>269</v>
      </c>
      <c r="C150" s="27" t="s">
        <v>157</v>
      </c>
      <c r="D150" s="28" t="s">
        <v>18</v>
      </c>
      <c r="E150" s="29">
        <f t="shared" si="145"/>
        <v>5.2</v>
      </c>
      <c r="F150" s="29">
        <v>0</v>
      </c>
      <c r="G150" s="30">
        <f t="shared" si="138"/>
        <v>0</v>
      </c>
      <c r="H150" s="30"/>
      <c r="I150" s="30">
        <f t="shared" si="148"/>
        <v>0</v>
      </c>
      <c r="J150" s="31">
        <v>5.2</v>
      </c>
      <c r="K150" s="30">
        <f t="shared" si="149"/>
        <v>0</v>
      </c>
      <c r="L150" s="30"/>
      <c r="M150" s="30">
        <f t="shared" si="150"/>
        <v>0</v>
      </c>
      <c r="N150" s="29">
        <v>0</v>
      </c>
      <c r="O150" s="30">
        <f t="shared" si="151"/>
        <v>0</v>
      </c>
      <c r="P150" s="30"/>
      <c r="Q150" s="30">
        <f t="shared" si="152"/>
        <v>0</v>
      </c>
      <c r="R150" s="30">
        <v>0</v>
      </c>
      <c r="S150" s="30">
        <f t="shared" si="161"/>
        <v>0</v>
      </c>
      <c r="T150" s="30"/>
      <c r="U150" s="30">
        <f t="shared" si="153"/>
        <v>0</v>
      </c>
      <c r="V150" s="29">
        <v>0</v>
      </c>
      <c r="W150" s="30">
        <f t="shared" si="141"/>
        <v>0</v>
      </c>
      <c r="X150" s="30"/>
      <c r="Y150" s="30">
        <f t="shared" si="154"/>
        <v>0</v>
      </c>
      <c r="Z150" s="31">
        <v>0</v>
      </c>
      <c r="AA150" s="30">
        <f t="shared" si="142"/>
        <v>0</v>
      </c>
      <c r="AB150" s="30"/>
      <c r="AC150" s="30">
        <f t="shared" si="155"/>
        <v>0</v>
      </c>
      <c r="AD150" s="31">
        <v>0</v>
      </c>
      <c r="AE150" s="30">
        <f t="shared" si="156"/>
        <v>0</v>
      </c>
      <c r="AF150" s="30"/>
      <c r="AG150" s="30">
        <f t="shared" si="157"/>
        <v>0</v>
      </c>
      <c r="AH150" s="30">
        <f t="shared" si="147"/>
        <v>0</v>
      </c>
      <c r="AI150" s="30">
        <f t="shared" si="121"/>
        <v>0</v>
      </c>
      <c r="AJ150" s="31">
        <v>0</v>
      </c>
      <c r="AK150" s="30" t="s">
        <v>314</v>
      </c>
      <c r="AL150" s="32">
        <v>0</v>
      </c>
      <c r="AM150" s="32">
        <f t="shared" si="143"/>
        <v>0</v>
      </c>
      <c r="AN150" s="32"/>
      <c r="AO150" s="32">
        <f t="shared" si="159"/>
        <v>0</v>
      </c>
      <c r="AP150" s="32">
        <f t="shared" si="158"/>
        <v>0</v>
      </c>
      <c r="AQ150" s="33">
        <f t="shared" si="144"/>
        <v>0</v>
      </c>
      <c r="AR150" s="82">
        <f t="shared" si="144"/>
        <v>0</v>
      </c>
      <c r="AS150" s="9"/>
      <c r="AT150" s="9"/>
      <c r="AU150" s="9"/>
      <c r="AV150" s="9"/>
      <c r="AW150" s="65"/>
      <c r="AX150" s="65"/>
      <c r="AY150" s="62"/>
      <c r="AZ150" s="62"/>
      <c r="BA150" s="62"/>
      <c r="BB150" s="62"/>
      <c r="BC150" s="62"/>
      <c r="BD150" s="62"/>
      <c r="BE150" s="62"/>
      <c r="BF150" s="62"/>
      <c r="BG150" s="62"/>
      <c r="BH150" s="62"/>
      <c r="BI150" s="62"/>
      <c r="BJ150" s="62"/>
      <c r="BK150" s="62"/>
      <c r="BL150" s="62"/>
      <c r="BM150" s="62"/>
      <c r="BN150" s="62"/>
      <c r="BO150" s="62"/>
      <c r="BP150" s="62"/>
      <c r="BQ150" s="62"/>
      <c r="BR150" s="62"/>
      <c r="BS150" s="62"/>
      <c r="BT150" s="62"/>
      <c r="BU150" s="62"/>
      <c r="BV150" s="62"/>
      <c r="BW150" s="62"/>
      <c r="BX150" s="62"/>
      <c r="BY150" s="62"/>
      <c r="BZ150" s="62"/>
      <c r="CA150" s="62"/>
      <c r="CB150" s="62"/>
      <c r="CC150" s="62"/>
      <c r="CD150" s="62"/>
      <c r="CE150" s="62"/>
      <c r="CF150" s="62"/>
      <c r="CG150" s="62"/>
    </row>
    <row r="151" spans="1:85" s="4" customFormat="1" ht="64.5" customHeight="1" outlineLevel="1" x14ac:dyDescent="0.25">
      <c r="A151" s="25">
        <f t="shared" si="139"/>
        <v>122</v>
      </c>
      <c r="B151" s="26" t="s">
        <v>269</v>
      </c>
      <c r="C151" s="27" t="s">
        <v>158</v>
      </c>
      <c r="D151" s="28" t="s">
        <v>18</v>
      </c>
      <c r="E151" s="29">
        <f t="shared" si="145"/>
        <v>5.2</v>
      </c>
      <c r="F151" s="29">
        <v>0</v>
      </c>
      <c r="G151" s="30">
        <f t="shared" si="138"/>
        <v>0</v>
      </c>
      <c r="H151" s="30"/>
      <c r="I151" s="30">
        <f t="shared" si="148"/>
        <v>0</v>
      </c>
      <c r="J151" s="31">
        <v>5.2</v>
      </c>
      <c r="K151" s="30">
        <f t="shared" si="149"/>
        <v>0</v>
      </c>
      <c r="L151" s="30"/>
      <c r="M151" s="30">
        <f t="shared" si="150"/>
        <v>0</v>
      </c>
      <c r="N151" s="29">
        <v>0</v>
      </c>
      <c r="O151" s="30">
        <f t="shared" si="151"/>
        <v>0</v>
      </c>
      <c r="P151" s="30"/>
      <c r="Q151" s="30">
        <f t="shared" si="152"/>
        <v>0</v>
      </c>
      <c r="R151" s="30">
        <v>0</v>
      </c>
      <c r="S151" s="30">
        <f t="shared" si="161"/>
        <v>0</v>
      </c>
      <c r="T151" s="30"/>
      <c r="U151" s="30">
        <f t="shared" si="153"/>
        <v>0</v>
      </c>
      <c r="V151" s="29">
        <v>0</v>
      </c>
      <c r="W151" s="30">
        <f t="shared" si="141"/>
        <v>0</v>
      </c>
      <c r="X151" s="30"/>
      <c r="Y151" s="30">
        <f t="shared" si="154"/>
        <v>0</v>
      </c>
      <c r="Z151" s="31">
        <v>0</v>
      </c>
      <c r="AA151" s="30">
        <f t="shared" si="142"/>
        <v>0</v>
      </c>
      <c r="AB151" s="30"/>
      <c r="AC151" s="30">
        <f t="shared" si="155"/>
        <v>0</v>
      </c>
      <c r="AD151" s="31">
        <v>0</v>
      </c>
      <c r="AE151" s="30">
        <f t="shared" si="156"/>
        <v>0</v>
      </c>
      <c r="AF151" s="30"/>
      <c r="AG151" s="30">
        <f t="shared" si="157"/>
        <v>0</v>
      </c>
      <c r="AH151" s="30">
        <f t="shared" si="147"/>
        <v>0</v>
      </c>
      <c r="AI151" s="30">
        <f t="shared" si="121"/>
        <v>0</v>
      </c>
      <c r="AJ151" s="31">
        <v>0</v>
      </c>
      <c r="AK151" s="30" t="s">
        <v>314</v>
      </c>
      <c r="AL151" s="32">
        <v>0</v>
      </c>
      <c r="AM151" s="32">
        <f t="shared" si="143"/>
        <v>0</v>
      </c>
      <c r="AN151" s="32"/>
      <c r="AO151" s="32">
        <f t="shared" si="159"/>
        <v>0</v>
      </c>
      <c r="AP151" s="32">
        <f t="shared" si="158"/>
        <v>0</v>
      </c>
      <c r="AQ151" s="33">
        <f t="shared" si="144"/>
        <v>0</v>
      </c>
      <c r="AR151" s="82">
        <f t="shared" si="144"/>
        <v>0</v>
      </c>
      <c r="AS151" s="9"/>
      <c r="AT151" s="9"/>
      <c r="AU151" s="9"/>
      <c r="AV151" s="9"/>
      <c r="AW151" s="65"/>
      <c r="AX151" s="65"/>
      <c r="AY151" s="62"/>
      <c r="AZ151" s="62"/>
      <c r="BA151" s="62"/>
      <c r="BB151" s="62"/>
      <c r="BC151" s="62"/>
      <c r="BD151" s="62"/>
      <c r="BE151" s="62"/>
      <c r="BF151" s="62"/>
      <c r="BG151" s="62"/>
      <c r="BH151" s="62"/>
      <c r="BI151" s="62"/>
      <c r="BJ151" s="62"/>
      <c r="BK151" s="62"/>
      <c r="BL151" s="62"/>
      <c r="BM151" s="62"/>
      <c r="BN151" s="62"/>
      <c r="BO151" s="62"/>
      <c r="BP151" s="62"/>
      <c r="BQ151" s="62"/>
      <c r="BR151" s="62"/>
      <c r="BS151" s="62"/>
      <c r="BT151" s="62"/>
      <c r="BU151" s="62"/>
      <c r="BV151" s="62"/>
      <c r="BW151" s="62"/>
      <c r="BX151" s="62"/>
      <c r="BY151" s="62"/>
      <c r="BZ151" s="62"/>
      <c r="CA151" s="62"/>
      <c r="CB151" s="62"/>
      <c r="CC151" s="62"/>
      <c r="CD151" s="62"/>
      <c r="CE151" s="62"/>
      <c r="CF151" s="62"/>
      <c r="CG151" s="62"/>
    </row>
    <row r="152" spans="1:85" s="4" customFormat="1" ht="64.5" customHeight="1" outlineLevel="1" x14ac:dyDescent="0.25">
      <c r="A152" s="25">
        <f t="shared" si="139"/>
        <v>123</v>
      </c>
      <c r="B152" s="26" t="s">
        <v>269</v>
      </c>
      <c r="C152" s="27" t="s">
        <v>159</v>
      </c>
      <c r="D152" s="28" t="s">
        <v>18</v>
      </c>
      <c r="E152" s="29">
        <f t="shared" si="145"/>
        <v>5.2</v>
      </c>
      <c r="F152" s="29">
        <v>0</v>
      </c>
      <c r="G152" s="30">
        <f t="shared" si="138"/>
        <v>0</v>
      </c>
      <c r="H152" s="30"/>
      <c r="I152" s="30">
        <f t="shared" si="148"/>
        <v>0</v>
      </c>
      <c r="J152" s="31">
        <v>5.2</v>
      </c>
      <c r="K152" s="30">
        <f t="shared" si="149"/>
        <v>0</v>
      </c>
      <c r="L152" s="30"/>
      <c r="M152" s="30">
        <f t="shared" si="150"/>
        <v>0</v>
      </c>
      <c r="N152" s="29">
        <v>0</v>
      </c>
      <c r="O152" s="30">
        <f t="shared" si="151"/>
        <v>0</v>
      </c>
      <c r="P152" s="30"/>
      <c r="Q152" s="30">
        <f t="shared" si="152"/>
        <v>0</v>
      </c>
      <c r="R152" s="30">
        <v>0</v>
      </c>
      <c r="S152" s="30">
        <v>4.2</v>
      </c>
      <c r="T152" s="30"/>
      <c r="U152" s="30">
        <f t="shared" si="153"/>
        <v>0</v>
      </c>
      <c r="V152" s="29">
        <v>0</v>
      </c>
      <c r="W152" s="30">
        <f t="shared" si="141"/>
        <v>0</v>
      </c>
      <c r="X152" s="30"/>
      <c r="Y152" s="30">
        <f t="shared" si="154"/>
        <v>0</v>
      </c>
      <c r="Z152" s="31">
        <v>0</v>
      </c>
      <c r="AA152" s="30">
        <f t="shared" si="142"/>
        <v>0</v>
      </c>
      <c r="AB152" s="30"/>
      <c r="AC152" s="30">
        <f t="shared" si="155"/>
        <v>0</v>
      </c>
      <c r="AD152" s="31">
        <v>0</v>
      </c>
      <c r="AE152" s="30">
        <f t="shared" si="156"/>
        <v>0</v>
      </c>
      <c r="AF152" s="30"/>
      <c r="AG152" s="30">
        <f t="shared" si="157"/>
        <v>0</v>
      </c>
      <c r="AH152" s="30">
        <f t="shared" si="147"/>
        <v>0</v>
      </c>
      <c r="AI152" s="30">
        <f t="shared" si="121"/>
        <v>0</v>
      </c>
      <c r="AJ152" s="31">
        <v>0</v>
      </c>
      <c r="AK152" s="30" t="s">
        <v>314</v>
      </c>
      <c r="AL152" s="32">
        <v>0</v>
      </c>
      <c r="AM152" s="32">
        <f t="shared" si="143"/>
        <v>0</v>
      </c>
      <c r="AN152" s="32"/>
      <c r="AO152" s="32">
        <f t="shared" si="159"/>
        <v>0</v>
      </c>
      <c r="AP152" s="32">
        <f t="shared" si="158"/>
        <v>0</v>
      </c>
      <c r="AQ152" s="33">
        <f t="shared" si="144"/>
        <v>0</v>
      </c>
      <c r="AR152" s="82">
        <f t="shared" si="144"/>
        <v>0</v>
      </c>
      <c r="AS152" s="9"/>
      <c r="AT152" s="9"/>
      <c r="AU152" s="9"/>
      <c r="AV152" s="9"/>
      <c r="AW152" s="65"/>
      <c r="AX152" s="65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62"/>
      <c r="BU152" s="62"/>
      <c r="BV152" s="62"/>
      <c r="BW152" s="62"/>
      <c r="BX152" s="62"/>
      <c r="BY152" s="62"/>
      <c r="BZ152" s="62"/>
      <c r="CA152" s="62"/>
      <c r="CB152" s="62"/>
      <c r="CC152" s="62"/>
      <c r="CD152" s="62"/>
      <c r="CE152" s="62"/>
      <c r="CF152" s="62"/>
      <c r="CG152" s="62"/>
    </row>
    <row r="153" spans="1:85" s="4" customFormat="1" ht="64.5" customHeight="1" outlineLevel="1" x14ac:dyDescent="0.25">
      <c r="A153" s="25">
        <f t="shared" si="139"/>
        <v>124</v>
      </c>
      <c r="B153" s="26" t="s">
        <v>269</v>
      </c>
      <c r="C153" s="27" t="s">
        <v>160</v>
      </c>
      <c r="D153" s="28" t="s">
        <v>18</v>
      </c>
      <c r="E153" s="29">
        <f t="shared" si="145"/>
        <v>5.2</v>
      </c>
      <c r="F153" s="29">
        <v>0</v>
      </c>
      <c r="G153" s="30">
        <f t="shared" si="138"/>
        <v>0</v>
      </c>
      <c r="H153" s="30"/>
      <c r="I153" s="30">
        <f t="shared" si="148"/>
        <v>0</v>
      </c>
      <c r="J153" s="31">
        <v>5.2</v>
      </c>
      <c r="K153" s="30">
        <f t="shared" si="149"/>
        <v>0</v>
      </c>
      <c r="L153" s="30"/>
      <c r="M153" s="30">
        <f t="shared" si="150"/>
        <v>0</v>
      </c>
      <c r="N153" s="29">
        <v>0</v>
      </c>
      <c r="O153" s="30">
        <f t="shared" si="151"/>
        <v>0</v>
      </c>
      <c r="P153" s="30"/>
      <c r="Q153" s="30">
        <f t="shared" si="152"/>
        <v>0</v>
      </c>
      <c r="R153" s="30">
        <v>0</v>
      </c>
      <c r="S153" s="30">
        <f t="shared" ref="S153:S155" si="162">T153/1.18</f>
        <v>0</v>
      </c>
      <c r="T153" s="30"/>
      <c r="U153" s="30">
        <f t="shared" si="153"/>
        <v>0</v>
      </c>
      <c r="V153" s="29">
        <v>0</v>
      </c>
      <c r="W153" s="30">
        <f t="shared" si="141"/>
        <v>0</v>
      </c>
      <c r="X153" s="30"/>
      <c r="Y153" s="30">
        <f t="shared" si="154"/>
        <v>0</v>
      </c>
      <c r="Z153" s="31">
        <v>0</v>
      </c>
      <c r="AA153" s="30">
        <f t="shared" si="142"/>
        <v>0</v>
      </c>
      <c r="AB153" s="30"/>
      <c r="AC153" s="30">
        <f t="shared" si="155"/>
        <v>0</v>
      </c>
      <c r="AD153" s="31">
        <v>0</v>
      </c>
      <c r="AE153" s="30">
        <f t="shared" si="156"/>
        <v>0</v>
      </c>
      <c r="AF153" s="30"/>
      <c r="AG153" s="30">
        <f t="shared" si="157"/>
        <v>0</v>
      </c>
      <c r="AH153" s="30">
        <f t="shared" si="147"/>
        <v>0</v>
      </c>
      <c r="AI153" s="30">
        <f t="shared" si="121"/>
        <v>0</v>
      </c>
      <c r="AJ153" s="31">
        <v>0</v>
      </c>
      <c r="AK153" s="30" t="s">
        <v>314</v>
      </c>
      <c r="AL153" s="32">
        <v>0</v>
      </c>
      <c r="AM153" s="32">
        <f t="shared" si="143"/>
        <v>0</v>
      </c>
      <c r="AN153" s="32"/>
      <c r="AO153" s="32">
        <f t="shared" si="159"/>
        <v>0</v>
      </c>
      <c r="AP153" s="32">
        <f t="shared" si="158"/>
        <v>0</v>
      </c>
      <c r="AQ153" s="33">
        <f t="shared" si="144"/>
        <v>0</v>
      </c>
      <c r="AR153" s="82">
        <f t="shared" si="144"/>
        <v>0</v>
      </c>
      <c r="AS153" s="9"/>
      <c r="AT153" s="9"/>
      <c r="AU153" s="9"/>
      <c r="AV153" s="9"/>
      <c r="AW153" s="65"/>
      <c r="AX153" s="65"/>
      <c r="AY153" s="62"/>
      <c r="AZ153" s="62"/>
      <c r="BA153" s="62"/>
      <c r="BB153" s="62"/>
      <c r="BC153" s="62"/>
      <c r="BD153" s="62"/>
      <c r="BE153" s="62"/>
      <c r="BF153" s="62"/>
      <c r="BG153" s="62"/>
      <c r="BH153" s="62"/>
      <c r="BI153" s="62"/>
      <c r="BJ153" s="62"/>
      <c r="BK153" s="62"/>
      <c r="BL153" s="62"/>
      <c r="BM153" s="62"/>
      <c r="BN153" s="62"/>
      <c r="BO153" s="62"/>
      <c r="BP153" s="62"/>
      <c r="BQ153" s="62"/>
      <c r="BR153" s="62"/>
      <c r="BS153" s="62"/>
      <c r="BT153" s="62"/>
      <c r="BU153" s="62"/>
      <c r="BV153" s="62"/>
      <c r="BW153" s="62"/>
      <c r="BX153" s="62"/>
      <c r="BY153" s="62"/>
      <c r="BZ153" s="62"/>
      <c r="CA153" s="62"/>
      <c r="CB153" s="62"/>
      <c r="CC153" s="62"/>
      <c r="CD153" s="62"/>
      <c r="CE153" s="62"/>
      <c r="CF153" s="62"/>
      <c r="CG153" s="62"/>
    </row>
    <row r="154" spans="1:85" s="4" customFormat="1" ht="64.5" customHeight="1" outlineLevel="1" x14ac:dyDescent="0.25">
      <c r="A154" s="25">
        <f t="shared" si="139"/>
        <v>125</v>
      </c>
      <c r="B154" s="26" t="s">
        <v>269</v>
      </c>
      <c r="C154" s="27" t="s">
        <v>161</v>
      </c>
      <c r="D154" s="28" t="s">
        <v>18</v>
      </c>
      <c r="E154" s="29">
        <f t="shared" si="145"/>
        <v>5.2</v>
      </c>
      <c r="F154" s="29">
        <v>0</v>
      </c>
      <c r="G154" s="30">
        <f t="shared" si="138"/>
        <v>0</v>
      </c>
      <c r="H154" s="30"/>
      <c r="I154" s="30">
        <f t="shared" si="148"/>
        <v>0</v>
      </c>
      <c r="J154" s="31">
        <v>5.2</v>
      </c>
      <c r="K154" s="30">
        <f t="shared" si="149"/>
        <v>0</v>
      </c>
      <c r="L154" s="30"/>
      <c r="M154" s="30">
        <f t="shared" si="150"/>
        <v>0</v>
      </c>
      <c r="N154" s="29">
        <v>0</v>
      </c>
      <c r="O154" s="30">
        <f t="shared" si="151"/>
        <v>0</v>
      </c>
      <c r="P154" s="30"/>
      <c r="Q154" s="30">
        <f t="shared" si="152"/>
        <v>0</v>
      </c>
      <c r="R154" s="30">
        <v>0</v>
      </c>
      <c r="S154" s="30">
        <f t="shared" si="162"/>
        <v>0</v>
      </c>
      <c r="T154" s="30"/>
      <c r="U154" s="30">
        <f t="shared" si="153"/>
        <v>0</v>
      </c>
      <c r="V154" s="29">
        <v>0</v>
      </c>
      <c r="W154" s="30">
        <f t="shared" si="141"/>
        <v>0</v>
      </c>
      <c r="X154" s="30"/>
      <c r="Y154" s="30">
        <f t="shared" si="154"/>
        <v>0</v>
      </c>
      <c r="Z154" s="31">
        <v>0</v>
      </c>
      <c r="AA154" s="30">
        <f t="shared" si="142"/>
        <v>0</v>
      </c>
      <c r="AB154" s="30"/>
      <c r="AC154" s="30">
        <f t="shared" si="155"/>
        <v>0</v>
      </c>
      <c r="AD154" s="31">
        <v>0</v>
      </c>
      <c r="AE154" s="30">
        <f t="shared" si="156"/>
        <v>0</v>
      </c>
      <c r="AF154" s="30"/>
      <c r="AG154" s="30">
        <f t="shared" si="157"/>
        <v>0</v>
      </c>
      <c r="AH154" s="30">
        <f t="shared" si="147"/>
        <v>0</v>
      </c>
      <c r="AI154" s="30">
        <f t="shared" si="121"/>
        <v>0</v>
      </c>
      <c r="AJ154" s="31">
        <v>0</v>
      </c>
      <c r="AK154" s="30" t="s">
        <v>314</v>
      </c>
      <c r="AL154" s="32">
        <v>0</v>
      </c>
      <c r="AM154" s="32">
        <f t="shared" si="143"/>
        <v>0</v>
      </c>
      <c r="AN154" s="32"/>
      <c r="AO154" s="32">
        <f t="shared" si="159"/>
        <v>0</v>
      </c>
      <c r="AP154" s="32">
        <f t="shared" si="158"/>
        <v>0</v>
      </c>
      <c r="AQ154" s="33">
        <f t="shared" si="144"/>
        <v>0</v>
      </c>
      <c r="AR154" s="82">
        <f t="shared" si="144"/>
        <v>0</v>
      </c>
      <c r="AS154" s="9"/>
      <c r="AT154" s="9"/>
      <c r="AU154" s="9"/>
      <c r="AV154" s="9"/>
      <c r="AW154" s="65"/>
      <c r="AX154" s="65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62"/>
      <c r="BU154" s="62"/>
      <c r="BV154" s="62"/>
      <c r="BW154" s="62"/>
      <c r="BX154" s="62"/>
      <c r="BY154" s="62"/>
      <c r="BZ154" s="62"/>
      <c r="CA154" s="62"/>
      <c r="CB154" s="62"/>
      <c r="CC154" s="62"/>
      <c r="CD154" s="62"/>
      <c r="CE154" s="62"/>
      <c r="CF154" s="62"/>
      <c r="CG154" s="62"/>
    </row>
    <row r="155" spans="1:85" s="4" customFormat="1" ht="64.5" customHeight="1" outlineLevel="1" x14ac:dyDescent="0.25">
      <c r="A155" s="25">
        <f t="shared" si="139"/>
        <v>126</v>
      </c>
      <c r="B155" s="26" t="s">
        <v>269</v>
      </c>
      <c r="C155" s="27" t="s">
        <v>162</v>
      </c>
      <c r="D155" s="28" t="s">
        <v>18</v>
      </c>
      <c r="E155" s="29">
        <f t="shared" si="145"/>
        <v>5.2</v>
      </c>
      <c r="F155" s="29">
        <v>0</v>
      </c>
      <c r="G155" s="30">
        <f t="shared" si="138"/>
        <v>0</v>
      </c>
      <c r="H155" s="30"/>
      <c r="I155" s="30">
        <f t="shared" si="148"/>
        <v>0</v>
      </c>
      <c r="J155" s="31">
        <v>5.2</v>
      </c>
      <c r="K155" s="30">
        <f t="shared" si="149"/>
        <v>0</v>
      </c>
      <c r="L155" s="30"/>
      <c r="M155" s="30">
        <f t="shared" si="150"/>
        <v>0</v>
      </c>
      <c r="N155" s="29">
        <v>0</v>
      </c>
      <c r="O155" s="30">
        <f t="shared" si="151"/>
        <v>0</v>
      </c>
      <c r="P155" s="30"/>
      <c r="Q155" s="30">
        <f t="shared" si="152"/>
        <v>0</v>
      </c>
      <c r="R155" s="30">
        <v>0</v>
      </c>
      <c r="S155" s="30">
        <f t="shared" si="162"/>
        <v>0</v>
      </c>
      <c r="T155" s="30"/>
      <c r="U155" s="30">
        <f t="shared" si="153"/>
        <v>0</v>
      </c>
      <c r="V155" s="29">
        <v>0</v>
      </c>
      <c r="W155" s="30">
        <f t="shared" si="141"/>
        <v>0</v>
      </c>
      <c r="X155" s="30"/>
      <c r="Y155" s="30">
        <f t="shared" si="154"/>
        <v>0</v>
      </c>
      <c r="Z155" s="31">
        <v>0</v>
      </c>
      <c r="AA155" s="30">
        <f t="shared" si="142"/>
        <v>0</v>
      </c>
      <c r="AB155" s="30"/>
      <c r="AC155" s="30">
        <f t="shared" si="155"/>
        <v>0</v>
      </c>
      <c r="AD155" s="31">
        <v>0</v>
      </c>
      <c r="AE155" s="30">
        <f t="shared" si="156"/>
        <v>0</v>
      </c>
      <c r="AF155" s="30"/>
      <c r="AG155" s="30">
        <f t="shared" si="157"/>
        <v>0</v>
      </c>
      <c r="AH155" s="30">
        <f t="shared" si="147"/>
        <v>0</v>
      </c>
      <c r="AI155" s="30">
        <f t="shared" si="121"/>
        <v>0</v>
      </c>
      <c r="AJ155" s="31">
        <v>0</v>
      </c>
      <c r="AK155" s="30" t="s">
        <v>314</v>
      </c>
      <c r="AL155" s="32">
        <v>0</v>
      </c>
      <c r="AM155" s="32">
        <f t="shared" si="143"/>
        <v>0</v>
      </c>
      <c r="AN155" s="32"/>
      <c r="AO155" s="32">
        <f t="shared" si="159"/>
        <v>0</v>
      </c>
      <c r="AP155" s="32">
        <f t="shared" si="158"/>
        <v>0</v>
      </c>
      <c r="AQ155" s="33">
        <f t="shared" si="144"/>
        <v>0</v>
      </c>
      <c r="AR155" s="82">
        <f t="shared" si="144"/>
        <v>0</v>
      </c>
      <c r="AS155" s="9"/>
      <c r="AT155" s="9"/>
      <c r="AU155" s="9"/>
      <c r="AV155" s="9"/>
      <c r="AW155" s="65"/>
      <c r="AX155" s="65"/>
      <c r="AY155" s="62"/>
      <c r="AZ155" s="62"/>
      <c r="BA155" s="62"/>
      <c r="BB155" s="62"/>
      <c r="BC155" s="62"/>
      <c r="BD155" s="62"/>
      <c r="BE155" s="62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62"/>
      <c r="BU155" s="62"/>
      <c r="BV155" s="62"/>
      <c r="BW155" s="62"/>
      <c r="BX155" s="62"/>
      <c r="BY155" s="62"/>
      <c r="BZ155" s="62"/>
      <c r="CA155" s="62"/>
      <c r="CB155" s="62"/>
      <c r="CC155" s="62"/>
      <c r="CD155" s="62"/>
      <c r="CE155" s="62"/>
      <c r="CF155" s="62"/>
      <c r="CG155" s="62"/>
    </row>
    <row r="156" spans="1:85" s="4" customFormat="1" ht="64.5" customHeight="1" outlineLevel="1" x14ac:dyDescent="0.25">
      <c r="A156" s="25">
        <f t="shared" si="139"/>
        <v>127</v>
      </c>
      <c r="B156" s="26" t="s">
        <v>269</v>
      </c>
      <c r="C156" s="27" t="s">
        <v>163</v>
      </c>
      <c r="D156" s="28" t="s">
        <v>18</v>
      </c>
      <c r="E156" s="29">
        <f t="shared" si="145"/>
        <v>5.2</v>
      </c>
      <c r="F156" s="29">
        <v>0</v>
      </c>
      <c r="G156" s="30">
        <f t="shared" si="138"/>
        <v>0</v>
      </c>
      <c r="H156" s="30"/>
      <c r="I156" s="30">
        <f t="shared" si="148"/>
        <v>0</v>
      </c>
      <c r="J156" s="31">
        <v>5.2</v>
      </c>
      <c r="K156" s="30">
        <f t="shared" si="149"/>
        <v>0</v>
      </c>
      <c r="L156" s="30"/>
      <c r="M156" s="30">
        <f t="shared" si="150"/>
        <v>0</v>
      </c>
      <c r="N156" s="29">
        <v>0</v>
      </c>
      <c r="O156" s="30">
        <f t="shared" si="151"/>
        <v>0</v>
      </c>
      <c r="P156" s="30"/>
      <c r="Q156" s="30">
        <f t="shared" si="152"/>
        <v>0</v>
      </c>
      <c r="R156" s="30">
        <v>0</v>
      </c>
      <c r="S156" s="30">
        <v>4.2</v>
      </c>
      <c r="T156" s="30"/>
      <c r="U156" s="30">
        <f t="shared" si="153"/>
        <v>0</v>
      </c>
      <c r="V156" s="29">
        <v>0</v>
      </c>
      <c r="W156" s="30">
        <f t="shared" si="141"/>
        <v>0</v>
      </c>
      <c r="X156" s="30"/>
      <c r="Y156" s="30">
        <f t="shared" si="154"/>
        <v>0</v>
      </c>
      <c r="Z156" s="31">
        <v>0</v>
      </c>
      <c r="AA156" s="30">
        <f t="shared" si="142"/>
        <v>0</v>
      </c>
      <c r="AB156" s="30"/>
      <c r="AC156" s="30">
        <f t="shared" si="155"/>
        <v>0</v>
      </c>
      <c r="AD156" s="31">
        <v>0</v>
      </c>
      <c r="AE156" s="30">
        <f t="shared" si="156"/>
        <v>0</v>
      </c>
      <c r="AF156" s="30"/>
      <c r="AG156" s="30">
        <f t="shared" si="157"/>
        <v>0</v>
      </c>
      <c r="AH156" s="30">
        <f t="shared" si="147"/>
        <v>0</v>
      </c>
      <c r="AI156" s="30">
        <f t="shared" si="121"/>
        <v>0</v>
      </c>
      <c r="AJ156" s="31">
        <v>0</v>
      </c>
      <c r="AK156" s="30" t="s">
        <v>314</v>
      </c>
      <c r="AL156" s="32">
        <v>0</v>
      </c>
      <c r="AM156" s="32">
        <f t="shared" si="143"/>
        <v>0</v>
      </c>
      <c r="AN156" s="32"/>
      <c r="AO156" s="32">
        <f t="shared" si="159"/>
        <v>0</v>
      </c>
      <c r="AP156" s="32">
        <f t="shared" si="158"/>
        <v>0</v>
      </c>
      <c r="AQ156" s="33">
        <f t="shared" si="144"/>
        <v>0</v>
      </c>
      <c r="AR156" s="82">
        <f t="shared" si="144"/>
        <v>0</v>
      </c>
      <c r="AS156" s="9"/>
      <c r="AT156" s="9"/>
      <c r="AU156" s="9"/>
      <c r="AV156" s="9"/>
      <c r="AW156" s="65"/>
      <c r="AX156" s="65"/>
      <c r="AY156" s="62"/>
      <c r="AZ156" s="62"/>
      <c r="BA156" s="62"/>
      <c r="BB156" s="62"/>
      <c r="BC156" s="62"/>
      <c r="BD156" s="62"/>
      <c r="BE156" s="62"/>
      <c r="BF156" s="62"/>
      <c r="BG156" s="62"/>
      <c r="BH156" s="62"/>
      <c r="BI156" s="62"/>
      <c r="BJ156" s="62"/>
      <c r="BK156" s="62"/>
      <c r="BL156" s="62"/>
      <c r="BM156" s="62"/>
      <c r="BN156" s="62"/>
      <c r="BO156" s="62"/>
      <c r="BP156" s="62"/>
      <c r="BQ156" s="62"/>
      <c r="BR156" s="62"/>
      <c r="BS156" s="62"/>
      <c r="BT156" s="62"/>
      <c r="BU156" s="62"/>
      <c r="BV156" s="62"/>
      <c r="BW156" s="62"/>
      <c r="BX156" s="62"/>
      <c r="BY156" s="62"/>
      <c r="BZ156" s="62"/>
      <c r="CA156" s="62"/>
      <c r="CB156" s="62"/>
      <c r="CC156" s="62"/>
      <c r="CD156" s="62"/>
      <c r="CE156" s="62"/>
      <c r="CF156" s="62"/>
      <c r="CG156" s="62"/>
    </row>
    <row r="157" spans="1:85" s="4" customFormat="1" ht="64.5" customHeight="1" outlineLevel="1" x14ac:dyDescent="0.25">
      <c r="A157" s="25">
        <f t="shared" si="139"/>
        <v>128</v>
      </c>
      <c r="B157" s="26" t="s">
        <v>269</v>
      </c>
      <c r="C157" s="27" t="s">
        <v>164</v>
      </c>
      <c r="D157" s="28" t="s">
        <v>18</v>
      </c>
      <c r="E157" s="29">
        <f t="shared" si="145"/>
        <v>5.2</v>
      </c>
      <c r="F157" s="29">
        <v>0</v>
      </c>
      <c r="G157" s="30">
        <f t="shared" si="138"/>
        <v>0</v>
      </c>
      <c r="H157" s="30"/>
      <c r="I157" s="30">
        <f t="shared" si="148"/>
        <v>0</v>
      </c>
      <c r="J157" s="31">
        <v>5.2</v>
      </c>
      <c r="K157" s="30">
        <f t="shared" si="149"/>
        <v>0</v>
      </c>
      <c r="L157" s="30"/>
      <c r="M157" s="30">
        <f t="shared" si="150"/>
        <v>0</v>
      </c>
      <c r="N157" s="29">
        <v>0</v>
      </c>
      <c r="O157" s="30">
        <f t="shared" si="151"/>
        <v>0</v>
      </c>
      <c r="P157" s="30"/>
      <c r="Q157" s="30">
        <f t="shared" si="152"/>
        <v>0</v>
      </c>
      <c r="R157" s="30">
        <v>0</v>
      </c>
      <c r="S157" s="30">
        <f t="shared" ref="S157:S159" si="163">T157/1.18</f>
        <v>0</v>
      </c>
      <c r="T157" s="30"/>
      <c r="U157" s="30">
        <f t="shared" si="153"/>
        <v>0</v>
      </c>
      <c r="V157" s="29">
        <v>0</v>
      </c>
      <c r="W157" s="30">
        <f t="shared" si="141"/>
        <v>0</v>
      </c>
      <c r="X157" s="30"/>
      <c r="Y157" s="30">
        <f t="shared" si="154"/>
        <v>0</v>
      </c>
      <c r="Z157" s="31">
        <v>0</v>
      </c>
      <c r="AA157" s="30">
        <f t="shared" si="142"/>
        <v>0</v>
      </c>
      <c r="AB157" s="30"/>
      <c r="AC157" s="30">
        <f t="shared" si="155"/>
        <v>0</v>
      </c>
      <c r="AD157" s="31">
        <v>0</v>
      </c>
      <c r="AE157" s="30">
        <f t="shared" si="156"/>
        <v>0</v>
      </c>
      <c r="AF157" s="30"/>
      <c r="AG157" s="30">
        <f t="shared" si="157"/>
        <v>0</v>
      </c>
      <c r="AH157" s="30">
        <f t="shared" si="147"/>
        <v>0</v>
      </c>
      <c r="AI157" s="30">
        <f t="shared" si="121"/>
        <v>0</v>
      </c>
      <c r="AJ157" s="31">
        <v>0</v>
      </c>
      <c r="AK157" s="30" t="s">
        <v>314</v>
      </c>
      <c r="AL157" s="32">
        <v>0</v>
      </c>
      <c r="AM157" s="32">
        <f t="shared" si="143"/>
        <v>0</v>
      </c>
      <c r="AN157" s="32"/>
      <c r="AO157" s="32">
        <f t="shared" si="159"/>
        <v>0</v>
      </c>
      <c r="AP157" s="32">
        <f t="shared" si="158"/>
        <v>0</v>
      </c>
      <c r="AQ157" s="33">
        <f t="shared" si="144"/>
        <v>0</v>
      </c>
      <c r="AR157" s="82">
        <f t="shared" si="144"/>
        <v>0</v>
      </c>
      <c r="AS157" s="9"/>
      <c r="AT157" s="9"/>
      <c r="AU157" s="9"/>
      <c r="AV157" s="9"/>
      <c r="AW157" s="65"/>
      <c r="AX157" s="65"/>
      <c r="AY157" s="62"/>
      <c r="AZ157" s="62"/>
      <c r="BA157" s="62"/>
      <c r="BB157" s="62"/>
      <c r="BC157" s="62"/>
      <c r="BD157" s="62"/>
      <c r="BE157" s="62"/>
      <c r="BF157" s="62"/>
      <c r="BG157" s="62"/>
      <c r="BH157" s="62"/>
      <c r="BI157" s="62"/>
      <c r="BJ157" s="62"/>
      <c r="BK157" s="62"/>
      <c r="BL157" s="62"/>
      <c r="BM157" s="62"/>
      <c r="BN157" s="62"/>
      <c r="BO157" s="62"/>
      <c r="BP157" s="62"/>
      <c r="BQ157" s="62"/>
      <c r="BR157" s="62"/>
      <c r="BS157" s="62"/>
      <c r="BT157" s="62"/>
      <c r="BU157" s="62"/>
      <c r="BV157" s="62"/>
      <c r="BW157" s="62"/>
      <c r="BX157" s="62"/>
      <c r="BY157" s="62"/>
      <c r="BZ157" s="62"/>
      <c r="CA157" s="62"/>
      <c r="CB157" s="62"/>
      <c r="CC157" s="62"/>
      <c r="CD157" s="62"/>
      <c r="CE157" s="62"/>
      <c r="CF157" s="62"/>
      <c r="CG157" s="62"/>
    </row>
    <row r="158" spans="1:85" s="4" customFormat="1" ht="64.5" customHeight="1" outlineLevel="1" x14ac:dyDescent="0.25">
      <c r="A158" s="25">
        <f t="shared" si="139"/>
        <v>129</v>
      </c>
      <c r="B158" s="26" t="s">
        <v>269</v>
      </c>
      <c r="C158" s="27" t="s">
        <v>165</v>
      </c>
      <c r="D158" s="28" t="s">
        <v>18</v>
      </c>
      <c r="E158" s="29">
        <f t="shared" si="145"/>
        <v>13.5</v>
      </c>
      <c r="F158" s="29">
        <v>0</v>
      </c>
      <c r="G158" s="30">
        <f t="shared" si="138"/>
        <v>0</v>
      </c>
      <c r="H158" s="30"/>
      <c r="I158" s="30">
        <f t="shared" si="148"/>
        <v>0</v>
      </c>
      <c r="J158" s="31">
        <v>13.5</v>
      </c>
      <c r="K158" s="30">
        <f t="shared" si="149"/>
        <v>0</v>
      </c>
      <c r="L158" s="30"/>
      <c r="M158" s="30">
        <f t="shared" si="150"/>
        <v>0</v>
      </c>
      <c r="N158" s="29">
        <v>0</v>
      </c>
      <c r="O158" s="30">
        <f t="shared" si="151"/>
        <v>0</v>
      </c>
      <c r="P158" s="30"/>
      <c r="Q158" s="30">
        <f t="shared" si="152"/>
        <v>0</v>
      </c>
      <c r="R158" s="30">
        <v>0</v>
      </c>
      <c r="S158" s="30">
        <f t="shared" si="163"/>
        <v>0</v>
      </c>
      <c r="T158" s="30"/>
      <c r="U158" s="30">
        <f t="shared" si="153"/>
        <v>0</v>
      </c>
      <c r="V158" s="29">
        <v>0</v>
      </c>
      <c r="W158" s="30">
        <f t="shared" si="141"/>
        <v>0</v>
      </c>
      <c r="X158" s="30"/>
      <c r="Y158" s="30">
        <f t="shared" si="154"/>
        <v>0</v>
      </c>
      <c r="Z158" s="31">
        <v>0</v>
      </c>
      <c r="AA158" s="30">
        <f t="shared" si="142"/>
        <v>0</v>
      </c>
      <c r="AB158" s="30"/>
      <c r="AC158" s="30">
        <f t="shared" si="155"/>
        <v>0</v>
      </c>
      <c r="AD158" s="31">
        <v>0</v>
      </c>
      <c r="AE158" s="30">
        <f t="shared" si="156"/>
        <v>0</v>
      </c>
      <c r="AF158" s="30"/>
      <c r="AG158" s="30">
        <f t="shared" si="157"/>
        <v>0</v>
      </c>
      <c r="AH158" s="30">
        <f t="shared" si="147"/>
        <v>0</v>
      </c>
      <c r="AI158" s="30">
        <f t="shared" ref="AI158:AI221" si="164">I158+M158+Q158+U158+Y158+AC158+AG158</f>
        <v>0</v>
      </c>
      <c r="AJ158" s="31">
        <v>0</v>
      </c>
      <c r="AK158" s="30" t="s">
        <v>314</v>
      </c>
      <c r="AL158" s="32">
        <v>0</v>
      </c>
      <c r="AM158" s="32">
        <f t="shared" si="143"/>
        <v>0</v>
      </c>
      <c r="AN158" s="32"/>
      <c r="AO158" s="32">
        <f t="shared" si="159"/>
        <v>0</v>
      </c>
      <c r="AP158" s="32">
        <f t="shared" si="158"/>
        <v>0</v>
      </c>
      <c r="AQ158" s="33">
        <f t="shared" si="144"/>
        <v>0</v>
      </c>
      <c r="AR158" s="82">
        <f t="shared" si="144"/>
        <v>0</v>
      </c>
      <c r="AS158" s="9"/>
      <c r="AT158" s="9"/>
      <c r="AU158" s="9"/>
      <c r="AV158" s="9"/>
      <c r="AW158" s="65"/>
      <c r="AX158" s="65"/>
      <c r="AY158" s="62"/>
      <c r="AZ158" s="62"/>
      <c r="BA158" s="62"/>
      <c r="BB158" s="62"/>
      <c r="BC158" s="62"/>
      <c r="BD158" s="62"/>
      <c r="BE158" s="62"/>
      <c r="BF158" s="62"/>
      <c r="BG158" s="62"/>
      <c r="BH158" s="62"/>
      <c r="BI158" s="62"/>
      <c r="BJ158" s="62"/>
      <c r="BK158" s="62"/>
      <c r="BL158" s="62"/>
      <c r="BM158" s="62"/>
      <c r="BN158" s="62"/>
      <c r="BO158" s="62"/>
      <c r="BP158" s="62"/>
      <c r="BQ158" s="62"/>
      <c r="BR158" s="62"/>
      <c r="BS158" s="62"/>
      <c r="BT158" s="62"/>
      <c r="BU158" s="62"/>
      <c r="BV158" s="62"/>
      <c r="BW158" s="62"/>
      <c r="BX158" s="62"/>
      <c r="BY158" s="62"/>
      <c r="BZ158" s="62"/>
      <c r="CA158" s="62"/>
      <c r="CB158" s="62"/>
      <c r="CC158" s="62"/>
      <c r="CD158" s="62"/>
      <c r="CE158" s="62"/>
      <c r="CF158" s="62"/>
      <c r="CG158" s="62"/>
    </row>
    <row r="159" spans="1:85" s="4" customFormat="1" ht="64.5" customHeight="1" outlineLevel="1" x14ac:dyDescent="0.25">
      <c r="A159" s="25">
        <f t="shared" si="139"/>
        <v>130</v>
      </c>
      <c r="B159" s="26" t="s">
        <v>269</v>
      </c>
      <c r="C159" s="27" t="s">
        <v>166</v>
      </c>
      <c r="D159" s="28" t="s">
        <v>18</v>
      </c>
      <c r="E159" s="29">
        <f t="shared" si="145"/>
        <v>12.5</v>
      </c>
      <c r="F159" s="29">
        <v>0</v>
      </c>
      <c r="G159" s="30">
        <f t="shared" si="138"/>
        <v>0</v>
      </c>
      <c r="H159" s="30"/>
      <c r="I159" s="30">
        <f t="shared" si="148"/>
        <v>0</v>
      </c>
      <c r="J159" s="31">
        <v>12.5</v>
      </c>
      <c r="K159" s="30">
        <f t="shared" si="149"/>
        <v>0</v>
      </c>
      <c r="L159" s="30"/>
      <c r="M159" s="30">
        <f t="shared" si="150"/>
        <v>0</v>
      </c>
      <c r="N159" s="29">
        <v>0</v>
      </c>
      <c r="O159" s="30">
        <f t="shared" si="151"/>
        <v>0</v>
      </c>
      <c r="P159" s="30"/>
      <c r="Q159" s="30">
        <f t="shared" si="152"/>
        <v>0</v>
      </c>
      <c r="R159" s="30">
        <v>0</v>
      </c>
      <c r="S159" s="30">
        <f t="shared" si="163"/>
        <v>0</v>
      </c>
      <c r="T159" s="30"/>
      <c r="U159" s="30">
        <f t="shared" si="153"/>
        <v>0</v>
      </c>
      <c r="V159" s="29">
        <v>0</v>
      </c>
      <c r="W159" s="30">
        <f t="shared" si="141"/>
        <v>0</v>
      </c>
      <c r="X159" s="30"/>
      <c r="Y159" s="30">
        <f t="shared" si="154"/>
        <v>0</v>
      </c>
      <c r="Z159" s="31">
        <v>0</v>
      </c>
      <c r="AA159" s="30">
        <f t="shared" si="142"/>
        <v>0</v>
      </c>
      <c r="AB159" s="30"/>
      <c r="AC159" s="30">
        <f t="shared" si="155"/>
        <v>0</v>
      </c>
      <c r="AD159" s="31">
        <v>0</v>
      </c>
      <c r="AE159" s="30">
        <f t="shared" si="156"/>
        <v>0</v>
      </c>
      <c r="AF159" s="30"/>
      <c r="AG159" s="30">
        <f t="shared" si="157"/>
        <v>0</v>
      </c>
      <c r="AH159" s="30">
        <f t="shared" si="147"/>
        <v>0</v>
      </c>
      <c r="AI159" s="30">
        <f t="shared" si="164"/>
        <v>0</v>
      </c>
      <c r="AJ159" s="31">
        <v>0</v>
      </c>
      <c r="AK159" s="30" t="s">
        <v>314</v>
      </c>
      <c r="AL159" s="32">
        <v>0</v>
      </c>
      <c r="AM159" s="32">
        <f t="shared" si="143"/>
        <v>0</v>
      </c>
      <c r="AN159" s="32"/>
      <c r="AO159" s="32">
        <f t="shared" si="159"/>
        <v>0</v>
      </c>
      <c r="AP159" s="32">
        <f t="shared" si="158"/>
        <v>0</v>
      </c>
      <c r="AQ159" s="33">
        <f t="shared" si="144"/>
        <v>0</v>
      </c>
      <c r="AR159" s="82">
        <f t="shared" si="144"/>
        <v>0</v>
      </c>
      <c r="AS159" s="9"/>
      <c r="AT159" s="9"/>
      <c r="AU159" s="9"/>
      <c r="AV159" s="9"/>
      <c r="AW159" s="65"/>
      <c r="AX159" s="65"/>
      <c r="AY159" s="62"/>
      <c r="AZ159" s="62"/>
      <c r="BA159" s="62"/>
      <c r="BB159" s="62"/>
      <c r="BC159" s="62"/>
      <c r="BD159" s="62"/>
      <c r="BE159" s="62"/>
      <c r="BF159" s="62"/>
      <c r="BG159" s="62"/>
      <c r="BH159" s="62"/>
      <c r="BI159" s="62"/>
      <c r="BJ159" s="62"/>
      <c r="BK159" s="62"/>
      <c r="BL159" s="62"/>
      <c r="BM159" s="62"/>
      <c r="BN159" s="62"/>
      <c r="BO159" s="62"/>
      <c r="BP159" s="62"/>
      <c r="BQ159" s="62"/>
      <c r="BR159" s="62"/>
      <c r="BS159" s="62"/>
      <c r="BT159" s="62"/>
      <c r="BU159" s="62"/>
      <c r="BV159" s="62"/>
      <c r="BW159" s="62"/>
      <c r="BX159" s="62"/>
      <c r="BY159" s="62"/>
      <c r="BZ159" s="62"/>
      <c r="CA159" s="62"/>
      <c r="CB159" s="62"/>
      <c r="CC159" s="62"/>
      <c r="CD159" s="62"/>
      <c r="CE159" s="62"/>
      <c r="CF159" s="62"/>
      <c r="CG159" s="62"/>
    </row>
    <row r="160" spans="1:85" s="4" customFormat="1" ht="64.5" customHeight="1" outlineLevel="1" x14ac:dyDescent="0.25">
      <c r="A160" s="25">
        <f t="shared" si="139"/>
        <v>131</v>
      </c>
      <c r="B160" s="26" t="s">
        <v>269</v>
      </c>
      <c r="C160" s="27" t="s">
        <v>167</v>
      </c>
      <c r="D160" s="28" t="s">
        <v>18</v>
      </c>
      <c r="E160" s="29">
        <f t="shared" si="145"/>
        <v>17.899999999999999</v>
      </c>
      <c r="F160" s="29">
        <v>0</v>
      </c>
      <c r="G160" s="30">
        <f t="shared" si="138"/>
        <v>0</v>
      </c>
      <c r="H160" s="30"/>
      <c r="I160" s="30">
        <f t="shared" si="148"/>
        <v>0</v>
      </c>
      <c r="J160" s="31">
        <v>17.899999999999999</v>
      </c>
      <c r="K160" s="30">
        <f t="shared" si="149"/>
        <v>0</v>
      </c>
      <c r="L160" s="30"/>
      <c r="M160" s="30">
        <f t="shared" si="150"/>
        <v>0</v>
      </c>
      <c r="N160" s="29">
        <v>0</v>
      </c>
      <c r="O160" s="30">
        <f t="shared" si="151"/>
        <v>0</v>
      </c>
      <c r="P160" s="30"/>
      <c r="Q160" s="30">
        <f t="shared" si="152"/>
        <v>0</v>
      </c>
      <c r="R160" s="30">
        <v>0</v>
      </c>
      <c r="S160" s="30">
        <v>4.2</v>
      </c>
      <c r="T160" s="30"/>
      <c r="U160" s="30">
        <f t="shared" si="153"/>
        <v>0</v>
      </c>
      <c r="V160" s="29">
        <v>0</v>
      </c>
      <c r="W160" s="30">
        <f t="shared" si="141"/>
        <v>0</v>
      </c>
      <c r="X160" s="30"/>
      <c r="Y160" s="30">
        <f t="shared" si="154"/>
        <v>0</v>
      </c>
      <c r="Z160" s="31">
        <v>0</v>
      </c>
      <c r="AA160" s="30">
        <f t="shared" si="142"/>
        <v>0</v>
      </c>
      <c r="AB160" s="30"/>
      <c r="AC160" s="30">
        <f t="shared" si="155"/>
        <v>0</v>
      </c>
      <c r="AD160" s="31">
        <v>0</v>
      </c>
      <c r="AE160" s="30">
        <f t="shared" si="156"/>
        <v>0</v>
      </c>
      <c r="AF160" s="30"/>
      <c r="AG160" s="30">
        <f t="shared" si="157"/>
        <v>0</v>
      </c>
      <c r="AH160" s="30">
        <f t="shared" si="147"/>
        <v>0</v>
      </c>
      <c r="AI160" s="30">
        <f t="shared" si="164"/>
        <v>0</v>
      </c>
      <c r="AJ160" s="31">
        <v>0</v>
      </c>
      <c r="AK160" s="30" t="s">
        <v>314</v>
      </c>
      <c r="AL160" s="32">
        <v>0</v>
      </c>
      <c r="AM160" s="32">
        <f t="shared" si="143"/>
        <v>0</v>
      </c>
      <c r="AN160" s="32"/>
      <c r="AO160" s="32">
        <f t="shared" si="159"/>
        <v>0</v>
      </c>
      <c r="AP160" s="32">
        <f t="shared" si="158"/>
        <v>0</v>
      </c>
      <c r="AQ160" s="33">
        <f t="shared" si="144"/>
        <v>0</v>
      </c>
      <c r="AR160" s="82">
        <f t="shared" si="144"/>
        <v>0</v>
      </c>
      <c r="AS160" s="9"/>
      <c r="AT160" s="9"/>
      <c r="AU160" s="9"/>
      <c r="AV160" s="9"/>
      <c r="AW160" s="65"/>
      <c r="AX160" s="65"/>
      <c r="AY160" s="62"/>
      <c r="AZ160" s="62"/>
      <c r="BA160" s="62"/>
      <c r="BB160" s="62"/>
      <c r="BC160" s="62"/>
      <c r="BD160" s="62"/>
      <c r="BE160" s="62"/>
      <c r="BF160" s="62"/>
      <c r="BG160" s="62"/>
      <c r="BH160" s="62"/>
      <c r="BI160" s="62"/>
      <c r="BJ160" s="62"/>
      <c r="BK160" s="62"/>
      <c r="BL160" s="62"/>
      <c r="BM160" s="62"/>
      <c r="BN160" s="62"/>
      <c r="BO160" s="62"/>
      <c r="BP160" s="62"/>
      <c r="BQ160" s="62"/>
      <c r="BR160" s="62"/>
      <c r="BS160" s="62"/>
      <c r="BT160" s="62"/>
      <c r="BU160" s="62"/>
      <c r="BV160" s="62"/>
      <c r="BW160" s="62"/>
      <c r="BX160" s="62"/>
      <c r="BY160" s="62"/>
      <c r="BZ160" s="62"/>
      <c r="CA160" s="62"/>
      <c r="CB160" s="62"/>
      <c r="CC160" s="62"/>
      <c r="CD160" s="62"/>
      <c r="CE160" s="62"/>
      <c r="CF160" s="62"/>
      <c r="CG160" s="62"/>
    </row>
    <row r="161" spans="1:85" s="4" customFormat="1" ht="64.5" customHeight="1" outlineLevel="1" x14ac:dyDescent="0.25">
      <c r="A161" s="25">
        <f t="shared" si="139"/>
        <v>132</v>
      </c>
      <c r="B161" s="26" t="s">
        <v>269</v>
      </c>
      <c r="C161" s="27" t="s">
        <v>168</v>
      </c>
      <c r="D161" s="28" t="s">
        <v>18</v>
      </c>
      <c r="E161" s="29">
        <f t="shared" si="145"/>
        <v>20.7</v>
      </c>
      <c r="F161" s="29">
        <v>0</v>
      </c>
      <c r="G161" s="30">
        <f t="shared" si="138"/>
        <v>0</v>
      </c>
      <c r="H161" s="30"/>
      <c r="I161" s="30">
        <f t="shared" si="148"/>
        <v>0</v>
      </c>
      <c r="J161" s="31">
        <v>20.7</v>
      </c>
      <c r="K161" s="30">
        <f t="shared" si="149"/>
        <v>0</v>
      </c>
      <c r="L161" s="30"/>
      <c r="M161" s="30">
        <f t="shared" si="150"/>
        <v>0</v>
      </c>
      <c r="N161" s="29">
        <v>0</v>
      </c>
      <c r="O161" s="30">
        <f t="shared" si="151"/>
        <v>0</v>
      </c>
      <c r="P161" s="30"/>
      <c r="Q161" s="30">
        <f t="shared" si="152"/>
        <v>0</v>
      </c>
      <c r="R161" s="30">
        <v>0</v>
      </c>
      <c r="S161" s="30">
        <f t="shared" ref="S161:S162" si="165">T161/1.18</f>
        <v>0</v>
      </c>
      <c r="T161" s="30"/>
      <c r="U161" s="30">
        <f t="shared" si="153"/>
        <v>0</v>
      </c>
      <c r="V161" s="29">
        <v>0</v>
      </c>
      <c r="W161" s="30">
        <f t="shared" si="141"/>
        <v>0</v>
      </c>
      <c r="X161" s="30"/>
      <c r="Y161" s="30">
        <f t="shared" si="154"/>
        <v>0</v>
      </c>
      <c r="Z161" s="31">
        <v>0</v>
      </c>
      <c r="AA161" s="30">
        <f t="shared" si="142"/>
        <v>0</v>
      </c>
      <c r="AB161" s="30"/>
      <c r="AC161" s="30">
        <f t="shared" si="155"/>
        <v>0</v>
      </c>
      <c r="AD161" s="31">
        <v>0</v>
      </c>
      <c r="AE161" s="30">
        <f t="shared" si="156"/>
        <v>0</v>
      </c>
      <c r="AF161" s="30"/>
      <c r="AG161" s="30">
        <f t="shared" si="157"/>
        <v>0</v>
      </c>
      <c r="AH161" s="30">
        <f t="shared" si="147"/>
        <v>0</v>
      </c>
      <c r="AI161" s="30">
        <f t="shared" si="164"/>
        <v>0</v>
      </c>
      <c r="AJ161" s="31">
        <v>0</v>
      </c>
      <c r="AK161" s="30" t="s">
        <v>314</v>
      </c>
      <c r="AL161" s="32">
        <v>0</v>
      </c>
      <c r="AM161" s="32">
        <f t="shared" si="143"/>
        <v>0</v>
      </c>
      <c r="AN161" s="32"/>
      <c r="AO161" s="32">
        <f t="shared" si="159"/>
        <v>0</v>
      </c>
      <c r="AP161" s="32">
        <f t="shared" si="158"/>
        <v>0</v>
      </c>
      <c r="AQ161" s="33">
        <f t="shared" si="144"/>
        <v>0</v>
      </c>
      <c r="AR161" s="82">
        <f t="shared" si="144"/>
        <v>0</v>
      </c>
      <c r="AS161" s="9"/>
      <c r="AT161" s="9"/>
      <c r="AU161" s="9"/>
      <c r="AV161" s="9"/>
      <c r="AW161" s="65"/>
      <c r="AX161" s="65"/>
      <c r="AY161" s="62"/>
      <c r="AZ161" s="62"/>
      <c r="BA161" s="62"/>
      <c r="BB161" s="62"/>
      <c r="BC161" s="62"/>
      <c r="BD161" s="62"/>
      <c r="BE161" s="62"/>
      <c r="BF161" s="62"/>
      <c r="BG161" s="62"/>
      <c r="BH161" s="62"/>
      <c r="BI161" s="62"/>
      <c r="BJ161" s="62"/>
      <c r="BK161" s="62"/>
      <c r="BL161" s="62"/>
      <c r="BM161" s="62"/>
      <c r="BN161" s="62"/>
      <c r="BO161" s="62"/>
      <c r="BP161" s="62"/>
      <c r="BQ161" s="62"/>
      <c r="BR161" s="62"/>
      <c r="BS161" s="62"/>
      <c r="BT161" s="62"/>
      <c r="BU161" s="62"/>
      <c r="BV161" s="62"/>
      <c r="BW161" s="62"/>
      <c r="BX161" s="62"/>
      <c r="BY161" s="62"/>
      <c r="BZ161" s="62"/>
      <c r="CA161" s="62"/>
      <c r="CB161" s="62"/>
      <c r="CC161" s="62"/>
      <c r="CD161" s="62"/>
      <c r="CE161" s="62"/>
      <c r="CF161" s="62"/>
      <c r="CG161" s="62"/>
    </row>
    <row r="162" spans="1:85" s="4" customFormat="1" ht="64.5" customHeight="1" outlineLevel="1" x14ac:dyDescent="0.25">
      <c r="A162" s="25">
        <f t="shared" si="139"/>
        <v>133</v>
      </c>
      <c r="B162" s="26" t="s">
        <v>269</v>
      </c>
      <c r="C162" s="27" t="s">
        <v>169</v>
      </c>
      <c r="D162" s="28" t="s">
        <v>18</v>
      </c>
      <c r="E162" s="29">
        <f t="shared" si="145"/>
        <v>7.5</v>
      </c>
      <c r="F162" s="29">
        <v>0</v>
      </c>
      <c r="G162" s="30">
        <f t="shared" si="138"/>
        <v>0</v>
      </c>
      <c r="H162" s="30"/>
      <c r="I162" s="30">
        <f t="shared" si="148"/>
        <v>0</v>
      </c>
      <c r="J162" s="31">
        <v>7.5</v>
      </c>
      <c r="K162" s="30">
        <f t="shared" si="149"/>
        <v>0</v>
      </c>
      <c r="L162" s="30"/>
      <c r="M162" s="30">
        <f t="shared" si="150"/>
        <v>0</v>
      </c>
      <c r="N162" s="29">
        <v>0</v>
      </c>
      <c r="O162" s="30">
        <f t="shared" si="151"/>
        <v>0</v>
      </c>
      <c r="P162" s="30"/>
      <c r="Q162" s="30">
        <f t="shared" si="152"/>
        <v>0</v>
      </c>
      <c r="R162" s="30">
        <v>0</v>
      </c>
      <c r="S162" s="30">
        <f t="shared" si="165"/>
        <v>0</v>
      </c>
      <c r="T162" s="30"/>
      <c r="U162" s="30">
        <f t="shared" si="153"/>
        <v>0</v>
      </c>
      <c r="V162" s="29">
        <v>0</v>
      </c>
      <c r="W162" s="30">
        <f t="shared" si="141"/>
        <v>0</v>
      </c>
      <c r="X162" s="30"/>
      <c r="Y162" s="30">
        <f t="shared" si="154"/>
        <v>0</v>
      </c>
      <c r="Z162" s="31">
        <v>0</v>
      </c>
      <c r="AA162" s="30">
        <f t="shared" si="142"/>
        <v>0</v>
      </c>
      <c r="AB162" s="30"/>
      <c r="AC162" s="30">
        <f t="shared" si="155"/>
        <v>0</v>
      </c>
      <c r="AD162" s="31">
        <v>0</v>
      </c>
      <c r="AE162" s="30">
        <f t="shared" si="156"/>
        <v>0</v>
      </c>
      <c r="AF162" s="30"/>
      <c r="AG162" s="30">
        <f t="shared" si="157"/>
        <v>0</v>
      </c>
      <c r="AH162" s="30">
        <f t="shared" si="147"/>
        <v>0</v>
      </c>
      <c r="AI162" s="30">
        <f t="shared" si="164"/>
        <v>0</v>
      </c>
      <c r="AJ162" s="31">
        <v>0</v>
      </c>
      <c r="AK162" s="30" t="s">
        <v>314</v>
      </c>
      <c r="AL162" s="32">
        <v>0</v>
      </c>
      <c r="AM162" s="32">
        <f t="shared" si="143"/>
        <v>0</v>
      </c>
      <c r="AN162" s="32"/>
      <c r="AO162" s="32">
        <f t="shared" si="159"/>
        <v>0</v>
      </c>
      <c r="AP162" s="32">
        <f t="shared" si="158"/>
        <v>0</v>
      </c>
      <c r="AQ162" s="33">
        <f t="shared" si="144"/>
        <v>0</v>
      </c>
      <c r="AR162" s="82">
        <f t="shared" si="144"/>
        <v>0</v>
      </c>
      <c r="AS162" s="9"/>
      <c r="AT162" s="9"/>
      <c r="AU162" s="9"/>
      <c r="AV162" s="9"/>
      <c r="AW162" s="65"/>
      <c r="AX162" s="65"/>
      <c r="AY162" s="62"/>
      <c r="AZ162" s="62"/>
      <c r="BA162" s="62"/>
      <c r="BB162" s="62"/>
      <c r="BC162" s="62"/>
      <c r="BD162" s="62"/>
      <c r="BE162" s="62"/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</row>
    <row r="163" spans="1:85" s="44" customFormat="1" ht="64.5" customHeight="1" outlineLevel="1" x14ac:dyDescent="0.3">
      <c r="A163" s="143" t="s">
        <v>285</v>
      </c>
      <c r="B163" s="144"/>
      <c r="C163" s="144"/>
      <c r="D163" s="101"/>
      <c r="E163" s="29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  <c r="AC163" s="101"/>
      <c r="AD163" s="101"/>
      <c r="AE163" s="101"/>
      <c r="AF163" s="101"/>
      <c r="AG163" s="101"/>
      <c r="AH163" s="30"/>
      <c r="AI163" s="30"/>
      <c r="AJ163" s="101"/>
      <c r="AK163" s="30"/>
      <c r="AL163" s="101"/>
      <c r="AM163" s="101"/>
      <c r="AN163" s="101"/>
      <c r="AO163" s="101"/>
      <c r="AP163" s="101"/>
      <c r="AQ163" s="121"/>
      <c r="AR163" s="126"/>
      <c r="AS163" s="42"/>
      <c r="AT163" s="42"/>
      <c r="AU163" s="42"/>
      <c r="AV163" s="42"/>
      <c r="AW163" s="118"/>
      <c r="AX163" s="118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  <c r="BO163" s="64"/>
      <c r="BP163" s="64"/>
      <c r="BQ163" s="64"/>
      <c r="BR163" s="64"/>
      <c r="BS163" s="64"/>
      <c r="BT163" s="64"/>
      <c r="BU163" s="64"/>
      <c r="BV163" s="64"/>
      <c r="BW163" s="64"/>
      <c r="BX163" s="64"/>
      <c r="BY163" s="64"/>
      <c r="BZ163" s="64"/>
      <c r="CA163" s="64"/>
      <c r="CB163" s="64"/>
      <c r="CC163" s="64"/>
      <c r="CD163" s="64"/>
      <c r="CE163" s="64"/>
      <c r="CF163" s="64"/>
      <c r="CG163" s="64"/>
    </row>
    <row r="164" spans="1:85" s="44" customFormat="1" ht="64.5" customHeight="1" outlineLevel="1" x14ac:dyDescent="0.3">
      <c r="A164" s="141" t="s">
        <v>235</v>
      </c>
      <c r="B164" s="142"/>
      <c r="C164" s="142"/>
      <c r="D164" s="105"/>
      <c r="E164" s="29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F164" s="105"/>
      <c r="AG164" s="105"/>
      <c r="AH164" s="30"/>
      <c r="AI164" s="30"/>
      <c r="AJ164" s="105"/>
      <c r="AK164" s="30"/>
      <c r="AL164" s="105"/>
      <c r="AM164" s="105"/>
      <c r="AN164" s="105"/>
      <c r="AO164" s="105"/>
      <c r="AP164" s="105"/>
      <c r="AQ164" s="111"/>
      <c r="AR164" s="126"/>
      <c r="AS164" s="42"/>
      <c r="AT164" s="42"/>
      <c r="AU164" s="42"/>
      <c r="AV164" s="42"/>
      <c r="AW164" s="118"/>
      <c r="AX164" s="118"/>
      <c r="AY164" s="64"/>
      <c r="AZ164" s="64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  <c r="BO164" s="64"/>
      <c r="BP164" s="64"/>
      <c r="BQ164" s="64"/>
      <c r="BR164" s="64"/>
      <c r="BS164" s="64"/>
      <c r="BT164" s="64"/>
      <c r="BU164" s="64"/>
      <c r="BV164" s="64"/>
      <c r="BW164" s="64"/>
      <c r="BX164" s="64"/>
      <c r="BY164" s="64"/>
      <c r="BZ164" s="64"/>
      <c r="CA164" s="64"/>
      <c r="CB164" s="64"/>
      <c r="CC164" s="64"/>
      <c r="CD164" s="64"/>
      <c r="CE164" s="64"/>
      <c r="CF164" s="64"/>
      <c r="CG164" s="64"/>
    </row>
    <row r="165" spans="1:85" s="4" customFormat="1" ht="64.5" customHeight="1" outlineLevel="1" x14ac:dyDescent="0.25">
      <c r="A165" s="25">
        <f>A162+1</f>
        <v>134</v>
      </c>
      <c r="B165" s="26" t="s">
        <v>17</v>
      </c>
      <c r="C165" s="27" t="s">
        <v>170</v>
      </c>
      <c r="D165" s="28" t="s">
        <v>18</v>
      </c>
      <c r="E165" s="29">
        <f t="shared" si="145"/>
        <v>847.8</v>
      </c>
      <c r="F165" s="29">
        <f>14.7+11</f>
        <v>25.7</v>
      </c>
      <c r="G165" s="30">
        <f t="shared" si="138"/>
        <v>0</v>
      </c>
      <c r="H165" s="30"/>
      <c r="I165" s="30">
        <f t="shared" si="148"/>
        <v>0</v>
      </c>
      <c r="J165" s="31">
        <v>424.7</v>
      </c>
      <c r="K165" s="30">
        <f t="shared" si="149"/>
        <v>0</v>
      </c>
      <c r="L165" s="30"/>
      <c r="M165" s="30">
        <f t="shared" si="150"/>
        <v>0</v>
      </c>
      <c r="N165" s="29">
        <v>0</v>
      </c>
      <c r="O165" s="30">
        <f t="shared" si="151"/>
        <v>0</v>
      </c>
      <c r="P165" s="30"/>
      <c r="Q165" s="30">
        <f t="shared" si="152"/>
        <v>0</v>
      </c>
      <c r="R165" s="30">
        <v>54.3</v>
      </c>
      <c r="S165" s="30">
        <f t="shared" ref="S165:S167" si="166">T165/1.18</f>
        <v>0</v>
      </c>
      <c r="T165" s="30"/>
      <c r="U165" s="30">
        <f t="shared" si="153"/>
        <v>0</v>
      </c>
      <c r="V165" s="29">
        <f>235.2+50</f>
        <v>285.2</v>
      </c>
      <c r="W165" s="30">
        <f t="shared" si="141"/>
        <v>0</v>
      </c>
      <c r="X165" s="30"/>
      <c r="Y165" s="30">
        <f t="shared" si="154"/>
        <v>0</v>
      </c>
      <c r="Z165" s="31">
        <v>42.4</v>
      </c>
      <c r="AA165" s="30">
        <f t="shared" si="142"/>
        <v>0</v>
      </c>
      <c r="AB165" s="30"/>
      <c r="AC165" s="30">
        <f t="shared" si="155"/>
        <v>0</v>
      </c>
      <c r="AD165" s="31">
        <v>15.5</v>
      </c>
      <c r="AE165" s="30">
        <f t="shared" si="156"/>
        <v>0</v>
      </c>
      <c r="AF165" s="30"/>
      <c r="AG165" s="30">
        <f t="shared" si="157"/>
        <v>0</v>
      </c>
      <c r="AH165" s="30">
        <f t="shared" si="147"/>
        <v>0</v>
      </c>
      <c r="AI165" s="30">
        <f t="shared" si="164"/>
        <v>0</v>
      </c>
      <c r="AJ165" s="31">
        <f>50+650</f>
        <v>700</v>
      </c>
      <c r="AK165" s="30" t="s">
        <v>314</v>
      </c>
      <c r="AL165" s="32">
        <v>0</v>
      </c>
      <c r="AM165" s="32">
        <f t="shared" ref="AM165:AM212" si="167">AN165/1.18</f>
        <v>0</v>
      </c>
      <c r="AN165" s="32"/>
      <c r="AO165" s="32">
        <f t="shared" si="159"/>
        <v>0</v>
      </c>
      <c r="AP165" s="32">
        <f>AN165*AJ165</f>
        <v>0</v>
      </c>
      <c r="AQ165" s="33">
        <f t="shared" si="144"/>
        <v>0</v>
      </c>
      <c r="AR165" s="82">
        <f t="shared" si="144"/>
        <v>0</v>
      </c>
      <c r="AS165" s="9"/>
      <c r="AT165" s="9"/>
      <c r="AU165" s="9"/>
      <c r="AV165" s="9"/>
      <c r="AW165" s="65"/>
      <c r="AX165" s="65"/>
      <c r="AY165" s="62"/>
      <c r="AZ165" s="62"/>
      <c r="BA165" s="62"/>
      <c r="BB165" s="62"/>
      <c r="BC165" s="62"/>
      <c r="BD165" s="62"/>
      <c r="BE165" s="62"/>
      <c r="BF165" s="62"/>
      <c r="BG165" s="62"/>
      <c r="BH165" s="62"/>
      <c r="BI165" s="62"/>
      <c r="BJ165" s="62"/>
      <c r="BK165" s="62"/>
      <c r="BL165" s="62"/>
      <c r="BM165" s="62"/>
      <c r="BN165" s="62"/>
      <c r="BO165" s="62"/>
      <c r="BP165" s="62"/>
      <c r="BQ165" s="62"/>
      <c r="BR165" s="62"/>
      <c r="BS165" s="62"/>
      <c r="BT165" s="62"/>
      <c r="BU165" s="62"/>
      <c r="BV165" s="62"/>
      <c r="BW165" s="62"/>
      <c r="BX165" s="62"/>
      <c r="BY165" s="62"/>
      <c r="BZ165" s="62"/>
      <c r="CA165" s="62"/>
      <c r="CB165" s="62"/>
      <c r="CC165" s="62"/>
      <c r="CD165" s="62"/>
      <c r="CE165" s="62"/>
      <c r="CF165" s="62"/>
      <c r="CG165" s="62"/>
    </row>
    <row r="166" spans="1:85" s="4" customFormat="1" ht="64.5" customHeight="1" outlineLevel="1" x14ac:dyDescent="0.25">
      <c r="A166" s="25">
        <f>A165+1</f>
        <v>135</v>
      </c>
      <c r="B166" s="26" t="s">
        <v>17</v>
      </c>
      <c r="C166" s="27" t="s">
        <v>171</v>
      </c>
      <c r="D166" s="28" t="s">
        <v>18</v>
      </c>
      <c r="E166" s="29">
        <f t="shared" si="145"/>
        <v>752.80000000000007</v>
      </c>
      <c r="F166" s="29">
        <v>18</v>
      </c>
      <c r="G166" s="30">
        <f t="shared" si="138"/>
        <v>0</v>
      </c>
      <c r="H166" s="30"/>
      <c r="I166" s="30">
        <f t="shared" si="148"/>
        <v>0</v>
      </c>
      <c r="J166" s="31">
        <v>412.6</v>
      </c>
      <c r="K166" s="30">
        <f t="shared" si="149"/>
        <v>0</v>
      </c>
      <c r="L166" s="30"/>
      <c r="M166" s="30">
        <f t="shared" si="150"/>
        <v>0</v>
      </c>
      <c r="N166" s="29">
        <v>0</v>
      </c>
      <c r="O166" s="30">
        <f t="shared" si="151"/>
        <v>0</v>
      </c>
      <c r="P166" s="30"/>
      <c r="Q166" s="30">
        <f t="shared" si="152"/>
        <v>0</v>
      </c>
      <c r="R166" s="30">
        <v>32.5</v>
      </c>
      <c r="S166" s="30">
        <f t="shared" si="166"/>
        <v>0</v>
      </c>
      <c r="T166" s="30"/>
      <c r="U166" s="30">
        <f t="shared" si="153"/>
        <v>0</v>
      </c>
      <c r="V166" s="29">
        <v>270.8</v>
      </c>
      <c r="W166" s="30">
        <f t="shared" si="141"/>
        <v>0</v>
      </c>
      <c r="X166" s="30"/>
      <c r="Y166" s="30">
        <f t="shared" si="154"/>
        <v>0</v>
      </c>
      <c r="Z166" s="31">
        <v>8.4</v>
      </c>
      <c r="AA166" s="30">
        <f t="shared" si="142"/>
        <v>0</v>
      </c>
      <c r="AB166" s="30"/>
      <c r="AC166" s="30">
        <f t="shared" si="155"/>
        <v>0</v>
      </c>
      <c r="AD166" s="31">
        <v>10.5</v>
      </c>
      <c r="AE166" s="30">
        <f t="shared" si="156"/>
        <v>0</v>
      </c>
      <c r="AF166" s="30"/>
      <c r="AG166" s="30">
        <f t="shared" si="157"/>
        <v>0</v>
      </c>
      <c r="AH166" s="30">
        <f t="shared" si="147"/>
        <v>0</v>
      </c>
      <c r="AI166" s="30">
        <f t="shared" si="164"/>
        <v>0</v>
      </c>
      <c r="AJ166" s="31">
        <v>1990</v>
      </c>
      <c r="AK166" s="30" t="s">
        <v>314</v>
      </c>
      <c r="AL166" s="32">
        <v>0</v>
      </c>
      <c r="AM166" s="32">
        <f t="shared" si="167"/>
        <v>0</v>
      </c>
      <c r="AN166" s="32"/>
      <c r="AO166" s="32">
        <f t="shared" si="159"/>
        <v>0</v>
      </c>
      <c r="AP166" s="32">
        <f t="shared" si="158"/>
        <v>0</v>
      </c>
      <c r="AQ166" s="33">
        <f t="shared" si="144"/>
        <v>0</v>
      </c>
      <c r="AR166" s="82">
        <f t="shared" si="144"/>
        <v>0</v>
      </c>
      <c r="AS166" s="9"/>
      <c r="AT166" s="9"/>
      <c r="AU166" s="9"/>
      <c r="AV166" s="9"/>
      <c r="AW166" s="65"/>
      <c r="AX166" s="65"/>
      <c r="AY166" s="62"/>
      <c r="AZ166" s="62"/>
      <c r="BA166" s="62"/>
      <c r="BB166" s="62"/>
      <c r="BC166" s="62"/>
      <c r="BD166" s="62"/>
      <c r="BE166" s="62"/>
      <c r="BF166" s="62"/>
      <c r="BG166" s="62"/>
      <c r="BH166" s="62"/>
      <c r="BI166" s="62"/>
      <c r="BJ166" s="62"/>
      <c r="BK166" s="62"/>
      <c r="BL166" s="62"/>
      <c r="BM166" s="62"/>
      <c r="BN166" s="62"/>
      <c r="BO166" s="62"/>
      <c r="BP166" s="62"/>
      <c r="BQ166" s="62"/>
      <c r="BR166" s="62"/>
      <c r="BS166" s="62"/>
      <c r="BT166" s="62"/>
      <c r="BU166" s="62"/>
      <c r="BV166" s="62"/>
      <c r="BW166" s="62"/>
      <c r="BX166" s="62"/>
      <c r="BY166" s="62"/>
      <c r="BZ166" s="62"/>
      <c r="CA166" s="62"/>
      <c r="CB166" s="62"/>
      <c r="CC166" s="62"/>
      <c r="CD166" s="62"/>
      <c r="CE166" s="62"/>
      <c r="CF166" s="62"/>
      <c r="CG166" s="62"/>
    </row>
    <row r="167" spans="1:85" s="4" customFormat="1" ht="64.5" customHeight="1" outlineLevel="1" x14ac:dyDescent="0.25">
      <c r="A167" s="25">
        <f t="shared" ref="A167:A170" si="168">A166+1</f>
        <v>136</v>
      </c>
      <c r="B167" s="26" t="s">
        <v>17</v>
      </c>
      <c r="C167" s="27" t="s">
        <v>172</v>
      </c>
      <c r="D167" s="28" t="s">
        <v>18</v>
      </c>
      <c r="E167" s="29">
        <f t="shared" si="145"/>
        <v>346.70000000000005</v>
      </c>
      <c r="F167" s="29">
        <v>15</v>
      </c>
      <c r="G167" s="30">
        <f t="shared" si="138"/>
        <v>0</v>
      </c>
      <c r="H167" s="30"/>
      <c r="I167" s="30">
        <f t="shared" si="148"/>
        <v>0</v>
      </c>
      <c r="J167" s="31">
        <f>114.76+22.1</f>
        <v>136.86000000000001</v>
      </c>
      <c r="K167" s="30">
        <f t="shared" si="149"/>
        <v>0</v>
      </c>
      <c r="L167" s="30"/>
      <c r="M167" s="30">
        <f t="shared" si="150"/>
        <v>0</v>
      </c>
      <c r="N167" s="29">
        <v>0</v>
      </c>
      <c r="O167" s="30">
        <f t="shared" si="151"/>
        <v>0</v>
      </c>
      <c r="P167" s="30"/>
      <c r="Q167" s="30">
        <f t="shared" si="152"/>
        <v>0</v>
      </c>
      <c r="R167" s="30">
        <v>5</v>
      </c>
      <c r="S167" s="30">
        <f t="shared" si="166"/>
        <v>0</v>
      </c>
      <c r="T167" s="30"/>
      <c r="U167" s="30">
        <f t="shared" si="153"/>
        <v>0</v>
      </c>
      <c r="V167" s="29">
        <f>34.2+105.5+24.24+11</f>
        <v>174.94</v>
      </c>
      <c r="W167" s="30">
        <f t="shared" si="141"/>
        <v>0</v>
      </c>
      <c r="X167" s="30"/>
      <c r="Y167" s="30">
        <f t="shared" si="154"/>
        <v>0</v>
      </c>
      <c r="Z167" s="31">
        <v>8.8000000000000007</v>
      </c>
      <c r="AA167" s="30">
        <f t="shared" si="142"/>
        <v>0</v>
      </c>
      <c r="AB167" s="30"/>
      <c r="AC167" s="30">
        <f t="shared" si="155"/>
        <v>0</v>
      </c>
      <c r="AD167" s="31">
        <v>6.1</v>
      </c>
      <c r="AE167" s="30">
        <f t="shared" si="156"/>
        <v>0</v>
      </c>
      <c r="AF167" s="30"/>
      <c r="AG167" s="30">
        <f t="shared" si="157"/>
        <v>0</v>
      </c>
      <c r="AH167" s="30">
        <f t="shared" si="147"/>
        <v>0</v>
      </c>
      <c r="AI167" s="30">
        <f t="shared" si="164"/>
        <v>0</v>
      </c>
      <c r="AJ167" s="31">
        <v>246</v>
      </c>
      <c r="AK167" s="30" t="s">
        <v>314</v>
      </c>
      <c r="AL167" s="32">
        <v>0</v>
      </c>
      <c r="AM167" s="32">
        <f t="shared" si="167"/>
        <v>0</v>
      </c>
      <c r="AN167" s="32"/>
      <c r="AO167" s="32">
        <f t="shared" si="159"/>
        <v>0</v>
      </c>
      <c r="AP167" s="32">
        <f t="shared" si="158"/>
        <v>0</v>
      </c>
      <c r="AQ167" s="33">
        <f t="shared" si="144"/>
        <v>0</v>
      </c>
      <c r="AR167" s="82">
        <f t="shared" si="144"/>
        <v>0</v>
      </c>
      <c r="AS167" s="9"/>
      <c r="AT167" s="9"/>
      <c r="AU167" s="9"/>
      <c r="AV167" s="9"/>
      <c r="AW167" s="65"/>
      <c r="AX167" s="65"/>
      <c r="AY167" s="62"/>
      <c r="AZ167" s="62"/>
      <c r="BA167" s="62"/>
      <c r="BB167" s="62"/>
      <c r="BC167" s="62"/>
      <c r="BD167" s="62"/>
      <c r="BE167" s="62"/>
      <c r="BF167" s="62"/>
      <c r="BG167" s="62"/>
      <c r="BH167" s="62"/>
      <c r="BI167" s="62"/>
      <c r="BJ167" s="62"/>
      <c r="BK167" s="62"/>
      <c r="BL167" s="62"/>
      <c r="BM167" s="62"/>
      <c r="BN167" s="62"/>
      <c r="BO167" s="62"/>
      <c r="BP167" s="62"/>
      <c r="BQ167" s="62"/>
      <c r="BR167" s="62"/>
      <c r="BS167" s="62"/>
      <c r="BT167" s="62"/>
      <c r="BU167" s="62"/>
      <c r="BV167" s="62"/>
      <c r="BW167" s="62"/>
      <c r="BX167" s="62"/>
      <c r="BY167" s="62"/>
      <c r="BZ167" s="62"/>
      <c r="CA167" s="62"/>
      <c r="CB167" s="62"/>
      <c r="CC167" s="62"/>
      <c r="CD167" s="62"/>
      <c r="CE167" s="62"/>
      <c r="CF167" s="62"/>
      <c r="CG167" s="62"/>
    </row>
    <row r="168" spans="1:85" s="4" customFormat="1" ht="64.5" customHeight="1" outlineLevel="1" x14ac:dyDescent="0.25">
      <c r="A168" s="25">
        <f t="shared" si="168"/>
        <v>137</v>
      </c>
      <c r="B168" s="26" t="s">
        <v>259</v>
      </c>
      <c r="C168" s="27" t="s">
        <v>221</v>
      </c>
      <c r="D168" s="28" t="s">
        <v>18</v>
      </c>
      <c r="E168" s="29">
        <f t="shared" si="145"/>
        <v>2508.2999999999997</v>
      </c>
      <c r="F168" s="29">
        <f>206.8+55</f>
        <v>261.8</v>
      </c>
      <c r="G168" s="30">
        <f t="shared" si="138"/>
        <v>0</v>
      </c>
      <c r="H168" s="30"/>
      <c r="I168" s="30">
        <f t="shared" si="148"/>
        <v>0</v>
      </c>
      <c r="J168" s="31">
        <f>268.5+562.3</f>
        <v>830.8</v>
      </c>
      <c r="K168" s="30">
        <f t="shared" si="149"/>
        <v>0</v>
      </c>
      <c r="L168" s="30"/>
      <c r="M168" s="30">
        <f t="shared" si="150"/>
        <v>0</v>
      </c>
      <c r="N168" s="29">
        <v>0</v>
      </c>
      <c r="O168" s="30">
        <f t="shared" si="151"/>
        <v>0</v>
      </c>
      <c r="P168" s="30"/>
      <c r="Q168" s="30">
        <f t="shared" si="152"/>
        <v>0</v>
      </c>
      <c r="R168" s="30">
        <f>137.1+125.9</f>
        <v>263</v>
      </c>
      <c r="S168" s="30">
        <v>4.2</v>
      </c>
      <c r="T168" s="30"/>
      <c r="U168" s="30">
        <f t="shared" si="153"/>
        <v>0</v>
      </c>
      <c r="V168" s="29">
        <f>572.3+537</f>
        <v>1109.3</v>
      </c>
      <c r="W168" s="30">
        <f t="shared" si="141"/>
        <v>0</v>
      </c>
      <c r="X168" s="30"/>
      <c r="Y168" s="30">
        <f t="shared" si="154"/>
        <v>0</v>
      </c>
      <c r="Z168" s="31">
        <v>18</v>
      </c>
      <c r="AA168" s="30">
        <f t="shared" si="142"/>
        <v>0</v>
      </c>
      <c r="AB168" s="30"/>
      <c r="AC168" s="30">
        <f t="shared" si="155"/>
        <v>0</v>
      </c>
      <c r="AD168" s="31">
        <v>25.4</v>
      </c>
      <c r="AE168" s="30">
        <f t="shared" si="156"/>
        <v>0</v>
      </c>
      <c r="AF168" s="30"/>
      <c r="AG168" s="30">
        <f t="shared" si="157"/>
        <v>0</v>
      </c>
      <c r="AH168" s="30">
        <f t="shared" si="147"/>
        <v>0</v>
      </c>
      <c r="AI168" s="30">
        <f t="shared" si="164"/>
        <v>0</v>
      </c>
      <c r="AJ168" s="31">
        <v>615</v>
      </c>
      <c r="AK168" s="30" t="s">
        <v>314</v>
      </c>
      <c r="AL168" s="32">
        <v>0</v>
      </c>
      <c r="AM168" s="32">
        <f t="shared" si="167"/>
        <v>0</v>
      </c>
      <c r="AN168" s="32"/>
      <c r="AO168" s="32">
        <f t="shared" si="159"/>
        <v>0</v>
      </c>
      <c r="AP168" s="32">
        <f t="shared" si="158"/>
        <v>0</v>
      </c>
      <c r="AQ168" s="33">
        <f t="shared" si="144"/>
        <v>0</v>
      </c>
      <c r="AR168" s="82">
        <f t="shared" si="144"/>
        <v>0</v>
      </c>
      <c r="AS168" s="9"/>
      <c r="AT168" s="9"/>
      <c r="AU168" s="9"/>
      <c r="AV168" s="9"/>
      <c r="AW168" s="65"/>
      <c r="AX168" s="65"/>
      <c r="AY168" s="62"/>
      <c r="AZ168" s="62"/>
      <c r="BA168" s="62"/>
      <c r="BB168" s="62"/>
      <c r="BC168" s="62"/>
      <c r="BD168" s="62"/>
      <c r="BE168" s="62"/>
      <c r="BF168" s="62"/>
      <c r="BG168" s="62"/>
      <c r="BH168" s="62"/>
      <c r="BI168" s="62"/>
      <c r="BJ168" s="62"/>
      <c r="BK168" s="62"/>
      <c r="BL168" s="62"/>
      <c r="BM168" s="62"/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X168" s="62"/>
      <c r="BY168" s="62"/>
      <c r="BZ168" s="62"/>
      <c r="CA168" s="62"/>
      <c r="CB168" s="62"/>
      <c r="CC168" s="62"/>
      <c r="CD168" s="62"/>
      <c r="CE168" s="62"/>
      <c r="CF168" s="62"/>
      <c r="CG168" s="62"/>
    </row>
    <row r="169" spans="1:85" s="4" customFormat="1" ht="64.5" customHeight="1" outlineLevel="1" x14ac:dyDescent="0.25">
      <c r="A169" s="25">
        <f t="shared" si="168"/>
        <v>138</v>
      </c>
      <c r="B169" s="26" t="s">
        <v>259</v>
      </c>
      <c r="C169" s="27" t="s">
        <v>173</v>
      </c>
      <c r="D169" s="28" t="s">
        <v>18</v>
      </c>
      <c r="E169" s="29">
        <f t="shared" si="145"/>
        <v>559.1</v>
      </c>
      <c r="F169" s="29">
        <v>65.400000000000006</v>
      </c>
      <c r="G169" s="30">
        <f t="shared" si="138"/>
        <v>0</v>
      </c>
      <c r="H169" s="30"/>
      <c r="I169" s="30">
        <f t="shared" si="148"/>
        <v>0</v>
      </c>
      <c r="J169" s="31">
        <v>268.5</v>
      </c>
      <c r="K169" s="30">
        <f t="shared" si="149"/>
        <v>0</v>
      </c>
      <c r="L169" s="30"/>
      <c r="M169" s="30">
        <f t="shared" si="150"/>
        <v>0</v>
      </c>
      <c r="N169" s="29">
        <v>0</v>
      </c>
      <c r="O169" s="30">
        <f t="shared" si="151"/>
        <v>0</v>
      </c>
      <c r="P169" s="30"/>
      <c r="Q169" s="30">
        <f t="shared" si="152"/>
        <v>0</v>
      </c>
      <c r="R169" s="30">
        <v>29.2</v>
      </c>
      <c r="S169" s="30">
        <f t="shared" ref="S169:S170" si="169">T169/1.18</f>
        <v>0</v>
      </c>
      <c r="T169" s="30"/>
      <c r="U169" s="30">
        <f t="shared" si="153"/>
        <v>0</v>
      </c>
      <c r="V169" s="29">
        <v>172.4</v>
      </c>
      <c r="W169" s="30">
        <f t="shared" si="141"/>
        <v>0</v>
      </c>
      <c r="X169" s="30"/>
      <c r="Y169" s="30">
        <f t="shared" si="154"/>
        <v>0</v>
      </c>
      <c r="Z169" s="31">
        <v>9.1</v>
      </c>
      <c r="AA169" s="30">
        <f t="shared" si="142"/>
        <v>0</v>
      </c>
      <c r="AB169" s="30"/>
      <c r="AC169" s="30">
        <f t="shared" si="155"/>
        <v>0</v>
      </c>
      <c r="AD169" s="31">
        <v>14.5</v>
      </c>
      <c r="AE169" s="30">
        <f t="shared" si="156"/>
        <v>0</v>
      </c>
      <c r="AF169" s="30"/>
      <c r="AG169" s="30">
        <f t="shared" si="157"/>
        <v>0</v>
      </c>
      <c r="AH169" s="30">
        <f t="shared" si="147"/>
        <v>0</v>
      </c>
      <c r="AI169" s="30">
        <f t="shared" si="164"/>
        <v>0</v>
      </c>
      <c r="AJ169" s="31">
        <v>960</v>
      </c>
      <c r="AK169" s="30" t="s">
        <v>314</v>
      </c>
      <c r="AL169" s="32">
        <v>0</v>
      </c>
      <c r="AM169" s="32">
        <f t="shared" si="167"/>
        <v>0</v>
      </c>
      <c r="AN169" s="32"/>
      <c r="AO169" s="32">
        <f t="shared" si="159"/>
        <v>0</v>
      </c>
      <c r="AP169" s="32">
        <f t="shared" si="158"/>
        <v>0</v>
      </c>
      <c r="AQ169" s="33">
        <f t="shared" si="144"/>
        <v>0</v>
      </c>
      <c r="AR169" s="82">
        <f t="shared" si="144"/>
        <v>0</v>
      </c>
      <c r="AS169" s="9"/>
      <c r="AT169" s="9"/>
      <c r="AU169" s="9"/>
      <c r="AV169" s="9"/>
      <c r="AW169" s="65"/>
      <c r="AX169" s="65"/>
      <c r="AY169" s="62"/>
      <c r="AZ169" s="62"/>
      <c r="BA169" s="62"/>
      <c r="BB169" s="62"/>
      <c r="BC169" s="62"/>
      <c r="BD169" s="62"/>
      <c r="BE169" s="62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X169" s="62"/>
      <c r="BY169" s="62"/>
      <c r="BZ169" s="62"/>
      <c r="CA169" s="62"/>
      <c r="CB169" s="62"/>
      <c r="CC169" s="62"/>
      <c r="CD169" s="62"/>
      <c r="CE169" s="62"/>
      <c r="CF169" s="62"/>
      <c r="CG169" s="62"/>
    </row>
    <row r="170" spans="1:85" s="4" customFormat="1" ht="64.5" customHeight="1" outlineLevel="1" x14ac:dyDescent="0.25">
      <c r="A170" s="25">
        <f t="shared" si="168"/>
        <v>139</v>
      </c>
      <c r="B170" s="26" t="s">
        <v>259</v>
      </c>
      <c r="C170" s="27" t="s">
        <v>174</v>
      </c>
      <c r="D170" s="28" t="s">
        <v>18</v>
      </c>
      <c r="E170" s="29">
        <f t="shared" si="145"/>
        <v>3123.9</v>
      </c>
      <c r="F170" s="29">
        <v>740</v>
      </c>
      <c r="G170" s="30">
        <f t="shared" si="138"/>
        <v>0</v>
      </c>
      <c r="H170" s="30"/>
      <c r="I170" s="30">
        <f t="shared" si="148"/>
        <v>0</v>
      </c>
      <c r="J170" s="31">
        <f>1041-115+42.5</f>
        <v>968.5</v>
      </c>
      <c r="K170" s="30">
        <f t="shared" si="149"/>
        <v>0</v>
      </c>
      <c r="L170" s="30"/>
      <c r="M170" s="30">
        <f t="shared" si="150"/>
        <v>0</v>
      </c>
      <c r="N170" s="29">
        <v>0</v>
      </c>
      <c r="O170" s="30">
        <f t="shared" si="151"/>
        <v>0</v>
      </c>
      <c r="P170" s="30"/>
      <c r="Q170" s="30">
        <f t="shared" si="152"/>
        <v>0</v>
      </c>
      <c r="R170" s="30">
        <v>139</v>
      </c>
      <c r="S170" s="30">
        <f t="shared" si="169"/>
        <v>0</v>
      </c>
      <c r="T170" s="30"/>
      <c r="U170" s="30">
        <f t="shared" si="153"/>
        <v>0</v>
      </c>
      <c r="V170" s="29">
        <v>1115</v>
      </c>
      <c r="W170" s="37">
        <f t="shared" si="141"/>
        <v>0</v>
      </c>
      <c r="X170" s="37"/>
      <c r="Y170" s="37">
        <f t="shared" si="154"/>
        <v>0</v>
      </c>
      <c r="Z170" s="31">
        <v>44.3</v>
      </c>
      <c r="AA170" s="30">
        <f t="shared" si="142"/>
        <v>0</v>
      </c>
      <c r="AB170" s="30"/>
      <c r="AC170" s="30">
        <f t="shared" si="155"/>
        <v>0</v>
      </c>
      <c r="AD170" s="31">
        <f>3.8+75.8+16.7+20.8</f>
        <v>117.1</v>
      </c>
      <c r="AE170" s="30">
        <f t="shared" si="156"/>
        <v>0</v>
      </c>
      <c r="AF170" s="30"/>
      <c r="AG170" s="30">
        <f t="shared" si="157"/>
        <v>0</v>
      </c>
      <c r="AH170" s="30">
        <f t="shared" si="147"/>
        <v>0</v>
      </c>
      <c r="AI170" s="30">
        <f t="shared" si="164"/>
        <v>0</v>
      </c>
      <c r="AJ170" s="31">
        <f>20.8+247.2+3384.7</f>
        <v>3652.7</v>
      </c>
      <c r="AK170" s="30" t="s">
        <v>314</v>
      </c>
      <c r="AL170" s="32">
        <v>0</v>
      </c>
      <c r="AM170" s="32">
        <f t="shared" si="167"/>
        <v>0</v>
      </c>
      <c r="AN170" s="32"/>
      <c r="AO170" s="32">
        <f t="shared" si="159"/>
        <v>0</v>
      </c>
      <c r="AP170" s="32">
        <f t="shared" si="158"/>
        <v>0</v>
      </c>
      <c r="AQ170" s="33">
        <f t="shared" si="144"/>
        <v>0</v>
      </c>
      <c r="AR170" s="82">
        <f t="shared" si="144"/>
        <v>0</v>
      </c>
      <c r="AS170" s="9"/>
      <c r="AT170" s="9"/>
      <c r="AU170" s="9"/>
      <c r="AV170" s="9"/>
      <c r="AW170" s="65"/>
      <c r="AX170" s="65"/>
      <c r="AY170" s="62"/>
      <c r="AZ170" s="62"/>
      <c r="BA170" s="62"/>
      <c r="BB170" s="62"/>
      <c r="BC170" s="62"/>
      <c r="BD170" s="62"/>
      <c r="BE170" s="62"/>
      <c r="BF170" s="62"/>
      <c r="BG170" s="62"/>
      <c r="BH170" s="62"/>
      <c r="BI170" s="62"/>
      <c r="BJ170" s="62"/>
      <c r="BK170" s="62"/>
      <c r="BL170" s="62"/>
      <c r="BM170" s="62"/>
      <c r="BN170" s="62"/>
      <c r="BO170" s="62"/>
      <c r="BP170" s="62"/>
      <c r="BQ170" s="62"/>
      <c r="BR170" s="62"/>
      <c r="BS170" s="62"/>
      <c r="BT170" s="62"/>
      <c r="BU170" s="62"/>
      <c r="BV170" s="62"/>
      <c r="BW170" s="62"/>
      <c r="BX170" s="62"/>
      <c r="BY170" s="62"/>
      <c r="BZ170" s="62"/>
      <c r="CA170" s="62"/>
      <c r="CB170" s="62"/>
      <c r="CC170" s="62"/>
      <c r="CD170" s="62"/>
      <c r="CE170" s="62"/>
      <c r="CF170" s="62"/>
      <c r="CG170" s="62"/>
    </row>
    <row r="171" spans="1:85" s="4" customFormat="1" ht="64.5" customHeight="1" outlineLevel="1" x14ac:dyDescent="0.25">
      <c r="A171" s="145" t="s">
        <v>228</v>
      </c>
      <c r="B171" s="146"/>
      <c r="C171" s="146"/>
      <c r="D171" s="106"/>
      <c r="E171" s="29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11"/>
      <c r="Y171" s="106"/>
      <c r="Z171" s="106"/>
      <c r="AA171" s="106"/>
      <c r="AB171" s="106"/>
      <c r="AC171" s="106"/>
      <c r="AD171" s="106"/>
      <c r="AE171" s="106"/>
      <c r="AF171" s="106"/>
      <c r="AG171" s="106"/>
      <c r="AH171" s="30"/>
      <c r="AI171" s="30"/>
      <c r="AJ171" s="106"/>
      <c r="AK171" s="30"/>
      <c r="AL171" s="106"/>
      <c r="AM171" s="106"/>
      <c r="AN171" s="106"/>
      <c r="AO171" s="106"/>
      <c r="AP171" s="106"/>
      <c r="AQ171" s="111"/>
      <c r="AR171" s="127"/>
      <c r="AS171" s="9"/>
      <c r="AT171" s="9"/>
      <c r="AU171" s="9"/>
      <c r="AV171" s="9"/>
      <c r="AW171" s="65"/>
      <c r="AX171" s="65"/>
      <c r="AY171" s="62"/>
      <c r="AZ171" s="62"/>
      <c r="BA171" s="62"/>
      <c r="BB171" s="62"/>
      <c r="BC171" s="62"/>
      <c r="BD171" s="62"/>
      <c r="BE171" s="62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BW171" s="62"/>
      <c r="BX171" s="62"/>
      <c r="BY171" s="62"/>
      <c r="BZ171" s="62"/>
      <c r="CA171" s="62"/>
      <c r="CB171" s="62"/>
      <c r="CC171" s="62"/>
      <c r="CD171" s="62"/>
      <c r="CE171" s="62"/>
      <c r="CF171" s="62"/>
      <c r="CG171" s="62"/>
    </row>
    <row r="172" spans="1:85" s="4" customFormat="1" ht="64.5" customHeight="1" outlineLevel="1" x14ac:dyDescent="0.25">
      <c r="A172" s="25">
        <f>A170+1</f>
        <v>140</v>
      </c>
      <c r="B172" s="26" t="s">
        <v>256</v>
      </c>
      <c r="C172" s="27" t="s">
        <v>179</v>
      </c>
      <c r="D172" s="28" t="s">
        <v>18</v>
      </c>
      <c r="E172" s="29">
        <f t="shared" si="145"/>
        <v>2240.8000000000002</v>
      </c>
      <c r="F172" s="29">
        <v>275.8</v>
      </c>
      <c r="G172" s="30">
        <f>H172/1.18</f>
        <v>0</v>
      </c>
      <c r="H172" s="30"/>
      <c r="I172" s="30">
        <f>H172*F172</f>
        <v>0</v>
      </c>
      <c r="J172" s="31">
        <v>585</v>
      </c>
      <c r="K172" s="30">
        <f>L172/1.18</f>
        <v>0</v>
      </c>
      <c r="L172" s="30"/>
      <c r="M172" s="30">
        <f>L172*J172</f>
        <v>0</v>
      </c>
      <c r="N172" s="29">
        <v>0</v>
      </c>
      <c r="O172" s="30">
        <f>P172/1.18</f>
        <v>0</v>
      </c>
      <c r="P172" s="30"/>
      <c r="Q172" s="30">
        <f>P172*N172</f>
        <v>0</v>
      </c>
      <c r="R172" s="30">
        <v>200.2</v>
      </c>
      <c r="S172" s="30">
        <f>T172/1.18</f>
        <v>0</v>
      </c>
      <c r="T172" s="30"/>
      <c r="U172" s="30">
        <f>T172*R172</f>
        <v>0</v>
      </c>
      <c r="V172" s="29">
        <v>771.2</v>
      </c>
      <c r="W172" s="30">
        <f t="shared" ref="W172:W176" si="170">X172/1.18</f>
        <v>0</v>
      </c>
      <c r="X172" s="30"/>
      <c r="Y172" s="30">
        <f>X172*V172</f>
        <v>0</v>
      </c>
      <c r="Z172" s="31">
        <v>367.6</v>
      </c>
      <c r="AA172" s="30">
        <f t="shared" ref="AA172:AA176" si="171">AB172/1.18</f>
        <v>0</v>
      </c>
      <c r="AB172" s="30"/>
      <c r="AC172" s="30">
        <f>AB172*Z172</f>
        <v>0</v>
      </c>
      <c r="AD172" s="31">
        <v>41</v>
      </c>
      <c r="AE172" s="30">
        <f>AF172/1.18</f>
        <v>0</v>
      </c>
      <c r="AF172" s="30"/>
      <c r="AG172" s="30">
        <f>AF172*AD172</f>
        <v>0</v>
      </c>
      <c r="AH172" s="30">
        <f t="shared" si="147"/>
        <v>0</v>
      </c>
      <c r="AI172" s="30">
        <f t="shared" si="164"/>
        <v>0</v>
      </c>
      <c r="AJ172" s="31">
        <f>696+160</f>
        <v>856</v>
      </c>
      <c r="AK172" s="30" t="s">
        <v>314</v>
      </c>
      <c r="AL172" s="32">
        <v>0</v>
      </c>
      <c r="AM172" s="32">
        <f t="shared" ref="AM172:AM184" si="172">AN172/1.18</f>
        <v>0</v>
      </c>
      <c r="AN172" s="32"/>
      <c r="AO172" s="32">
        <f>AM172*AJ172</f>
        <v>0</v>
      </c>
      <c r="AP172" s="32">
        <f>AN172*AJ172</f>
        <v>0</v>
      </c>
      <c r="AQ172" s="33">
        <f t="shared" si="144"/>
        <v>0</v>
      </c>
      <c r="AR172" s="82">
        <f t="shared" si="144"/>
        <v>0</v>
      </c>
      <c r="AS172" s="9"/>
      <c r="AT172" s="9"/>
      <c r="AU172" s="9"/>
      <c r="AV172" s="9"/>
      <c r="AW172" s="65"/>
      <c r="AX172" s="65"/>
      <c r="AY172" s="62"/>
      <c r="AZ172" s="62"/>
      <c r="BA172" s="62"/>
      <c r="BB172" s="62"/>
      <c r="BC172" s="62"/>
      <c r="BD172" s="62"/>
      <c r="BE172" s="62"/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X172" s="62"/>
      <c r="BY172" s="62"/>
      <c r="BZ172" s="62"/>
      <c r="CA172" s="62"/>
      <c r="CB172" s="62"/>
      <c r="CC172" s="62"/>
      <c r="CD172" s="62"/>
      <c r="CE172" s="62"/>
      <c r="CF172" s="62"/>
      <c r="CG172" s="62"/>
    </row>
    <row r="173" spans="1:85" s="4" customFormat="1" ht="64.5" customHeight="1" outlineLevel="1" x14ac:dyDescent="0.25">
      <c r="A173" s="25">
        <f>A172+1</f>
        <v>141</v>
      </c>
      <c r="B173" s="26" t="s">
        <v>17</v>
      </c>
      <c r="C173" s="27" t="s">
        <v>180</v>
      </c>
      <c r="D173" s="28" t="s">
        <v>18</v>
      </c>
      <c r="E173" s="29">
        <f t="shared" si="145"/>
        <v>496.69999999999993</v>
      </c>
      <c r="F173" s="29">
        <v>44.8</v>
      </c>
      <c r="G173" s="30">
        <f>H173/1.18</f>
        <v>0</v>
      </c>
      <c r="H173" s="30"/>
      <c r="I173" s="30">
        <f>H173*F173</f>
        <v>0</v>
      </c>
      <c r="J173" s="31">
        <f>135.7</f>
        <v>135.69999999999999</v>
      </c>
      <c r="K173" s="30">
        <f>L173/1.18</f>
        <v>0</v>
      </c>
      <c r="L173" s="30"/>
      <c r="M173" s="30">
        <f>L173*J173</f>
        <v>0</v>
      </c>
      <c r="N173" s="29">
        <v>0</v>
      </c>
      <c r="O173" s="30">
        <f>P173/1.18</f>
        <v>0</v>
      </c>
      <c r="P173" s="30"/>
      <c r="Q173" s="30">
        <f>P173*N173</f>
        <v>0</v>
      </c>
      <c r="R173" s="30">
        <v>0</v>
      </c>
      <c r="S173" s="30">
        <f>T173/1.18</f>
        <v>0</v>
      </c>
      <c r="T173" s="30"/>
      <c r="U173" s="30">
        <f>T173*R173</f>
        <v>0</v>
      </c>
      <c r="V173" s="29">
        <f>61+2.3+6.1+19.4+188</f>
        <v>276.79999999999995</v>
      </c>
      <c r="W173" s="30">
        <f t="shared" si="170"/>
        <v>0</v>
      </c>
      <c r="X173" s="30"/>
      <c r="Y173" s="30">
        <f>X173*V173</f>
        <v>0</v>
      </c>
      <c r="Z173" s="31">
        <f>35.2</f>
        <v>35.200000000000003</v>
      </c>
      <c r="AA173" s="30">
        <f t="shared" si="171"/>
        <v>0</v>
      </c>
      <c r="AB173" s="30"/>
      <c r="AC173" s="30">
        <f>AB173*Z173</f>
        <v>0</v>
      </c>
      <c r="AD173" s="31">
        <v>4.2</v>
      </c>
      <c r="AE173" s="30">
        <f>AF173/1.18</f>
        <v>0</v>
      </c>
      <c r="AF173" s="30"/>
      <c r="AG173" s="30">
        <f>AF173*AD173</f>
        <v>0</v>
      </c>
      <c r="AH173" s="30">
        <f t="shared" si="147"/>
        <v>0</v>
      </c>
      <c r="AI173" s="30">
        <f t="shared" si="164"/>
        <v>0</v>
      </c>
      <c r="AJ173" s="31">
        <v>1010</v>
      </c>
      <c r="AK173" s="30" t="s">
        <v>314</v>
      </c>
      <c r="AL173" s="32">
        <v>0</v>
      </c>
      <c r="AM173" s="32">
        <f t="shared" si="172"/>
        <v>0</v>
      </c>
      <c r="AN173" s="32"/>
      <c r="AO173" s="32">
        <f>AM173*AJ173</f>
        <v>0</v>
      </c>
      <c r="AP173" s="32">
        <f>AN173*AJ173</f>
        <v>0</v>
      </c>
      <c r="AQ173" s="33">
        <f t="shared" si="144"/>
        <v>0</v>
      </c>
      <c r="AR173" s="82">
        <f t="shared" si="144"/>
        <v>0</v>
      </c>
      <c r="AS173" s="9"/>
      <c r="AT173" s="9"/>
      <c r="AU173" s="9"/>
      <c r="AV173" s="9"/>
      <c r="AW173" s="65"/>
      <c r="AX173" s="65"/>
      <c r="AY173" s="62"/>
      <c r="AZ173" s="62"/>
      <c r="BA173" s="62"/>
      <c r="BB173" s="62"/>
      <c r="BC173" s="62"/>
      <c r="BD173" s="62"/>
      <c r="BE173" s="62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BW173" s="62"/>
      <c r="BX173" s="62"/>
      <c r="BY173" s="62"/>
      <c r="BZ173" s="62"/>
      <c r="CA173" s="62"/>
      <c r="CB173" s="62"/>
      <c r="CC173" s="62"/>
      <c r="CD173" s="62"/>
      <c r="CE173" s="62"/>
      <c r="CF173" s="62"/>
      <c r="CG173" s="62"/>
    </row>
    <row r="174" spans="1:85" s="90" customFormat="1" ht="64.5" customHeight="1" outlineLevel="1" x14ac:dyDescent="0.25">
      <c r="A174" s="25">
        <f>A173+1</f>
        <v>142</v>
      </c>
      <c r="B174" s="26" t="s">
        <v>17</v>
      </c>
      <c r="C174" s="27" t="s">
        <v>181</v>
      </c>
      <c r="D174" s="28" t="s">
        <v>18</v>
      </c>
      <c r="E174" s="29">
        <f t="shared" si="145"/>
        <v>675.2</v>
      </c>
      <c r="F174" s="29">
        <f>41.4+11.1+62</f>
        <v>114.5</v>
      </c>
      <c r="G174" s="30">
        <f>H174/1.18</f>
        <v>0</v>
      </c>
      <c r="H174" s="30"/>
      <c r="I174" s="30">
        <f>H174*F174</f>
        <v>0</v>
      </c>
      <c r="J174" s="31">
        <f>205.7+23.1+55.1</f>
        <v>283.89999999999998</v>
      </c>
      <c r="K174" s="30">
        <f>L174/1.18</f>
        <v>0</v>
      </c>
      <c r="L174" s="30"/>
      <c r="M174" s="30">
        <f>L174*J174</f>
        <v>0</v>
      </c>
      <c r="N174" s="29">
        <v>0</v>
      </c>
      <c r="O174" s="30">
        <f>P174/1.18</f>
        <v>0</v>
      </c>
      <c r="P174" s="30"/>
      <c r="Q174" s="30">
        <f>P174*N174</f>
        <v>0</v>
      </c>
      <c r="R174" s="30">
        <v>27.1</v>
      </c>
      <c r="S174" s="30">
        <f t="shared" ref="S174:S176" si="173">T174/1.18</f>
        <v>0</v>
      </c>
      <c r="T174" s="30"/>
      <c r="U174" s="30">
        <f>T174*R174</f>
        <v>0</v>
      </c>
      <c r="V174" s="29">
        <f>35.7+8.6+40.3+65.2+9.3</f>
        <v>159.10000000000002</v>
      </c>
      <c r="W174" s="30">
        <f t="shared" si="170"/>
        <v>0</v>
      </c>
      <c r="X174" s="30"/>
      <c r="Y174" s="30">
        <f>X174*V174</f>
        <v>0</v>
      </c>
      <c r="Z174" s="31">
        <f>55.1+27</f>
        <v>82.1</v>
      </c>
      <c r="AA174" s="30">
        <f t="shared" si="171"/>
        <v>0</v>
      </c>
      <c r="AB174" s="30"/>
      <c r="AC174" s="30">
        <f>AB174*Z174</f>
        <v>0</v>
      </c>
      <c r="AD174" s="31">
        <v>8.5</v>
      </c>
      <c r="AE174" s="30">
        <f>AF174/1.18</f>
        <v>0</v>
      </c>
      <c r="AF174" s="30"/>
      <c r="AG174" s="30">
        <f>AF174*AD174</f>
        <v>0</v>
      </c>
      <c r="AH174" s="30">
        <f t="shared" si="147"/>
        <v>0</v>
      </c>
      <c r="AI174" s="30">
        <f t="shared" si="164"/>
        <v>0</v>
      </c>
      <c r="AJ174" s="31">
        <f>2166+1500</f>
        <v>3666</v>
      </c>
      <c r="AK174" s="30" t="s">
        <v>314</v>
      </c>
      <c r="AL174" s="32">
        <v>0</v>
      </c>
      <c r="AM174" s="32">
        <f t="shared" si="172"/>
        <v>0</v>
      </c>
      <c r="AN174" s="32"/>
      <c r="AO174" s="32">
        <f>AM174*AJ174</f>
        <v>0</v>
      </c>
      <c r="AP174" s="32">
        <f>AN174*AJ174</f>
        <v>0</v>
      </c>
      <c r="AQ174" s="33">
        <f t="shared" si="144"/>
        <v>0</v>
      </c>
      <c r="AR174" s="82">
        <f t="shared" si="144"/>
        <v>0</v>
      </c>
      <c r="AS174" s="88"/>
      <c r="AT174" s="9"/>
      <c r="AU174" s="9"/>
      <c r="AV174" s="9"/>
      <c r="AW174" s="65"/>
      <c r="AX174" s="65"/>
      <c r="AY174" s="89"/>
      <c r="AZ174" s="89"/>
      <c r="BA174" s="89"/>
      <c r="BB174" s="89"/>
      <c r="BC174" s="89"/>
      <c r="BD174" s="89"/>
      <c r="BE174" s="89"/>
      <c r="BF174" s="89"/>
      <c r="BG174" s="89"/>
      <c r="BH174" s="89"/>
      <c r="BI174" s="89"/>
      <c r="BJ174" s="89"/>
      <c r="BK174" s="89"/>
      <c r="BL174" s="89"/>
      <c r="BM174" s="89"/>
      <c r="BN174" s="89"/>
      <c r="BO174" s="89"/>
      <c r="BP174" s="89"/>
      <c r="BQ174" s="89"/>
      <c r="BR174" s="89"/>
      <c r="BS174" s="89"/>
      <c r="BT174" s="89"/>
      <c r="BU174" s="89"/>
      <c r="BV174" s="89"/>
      <c r="BW174" s="89"/>
      <c r="BX174" s="89"/>
      <c r="BY174" s="89"/>
      <c r="BZ174" s="89"/>
      <c r="CA174" s="89"/>
      <c r="CB174" s="89"/>
      <c r="CC174" s="89"/>
      <c r="CD174" s="89"/>
      <c r="CE174" s="89"/>
      <c r="CF174" s="89"/>
      <c r="CG174" s="89"/>
    </row>
    <row r="175" spans="1:85" s="108" customFormat="1" ht="64.5" customHeight="1" outlineLevel="1" x14ac:dyDescent="0.25">
      <c r="A175" s="147" t="s">
        <v>236</v>
      </c>
      <c r="B175" s="148"/>
      <c r="C175" s="148"/>
      <c r="D175" s="102"/>
      <c r="E175" s="29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30"/>
      <c r="AI175" s="30"/>
      <c r="AJ175" s="102"/>
      <c r="AK175" s="30"/>
      <c r="AL175" s="102"/>
      <c r="AM175" s="102"/>
      <c r="AN175" s="102"/>
      <c r="AO175" s="102"/>
      <c r="AP175" s="102"/>
      <c r="AQ175" s="33"/>
      <c r="AR175" s="82"/>
      <c r="AS175" s="114"/>
      <c r="AT175" s="52"/>
      <c r="AU175" s="52"/>
      <c r="AV175" s="52"/>
      <c r="AW175" s="52"/>
      <c r="AX175" s="52"/>
      <c r="AY175" s="117"/>
    </row>
    <row r="176" spans="1:85" s="4" customFormat="1" ht="64.5" customHeight="1" outlineLevel="1" x14ac:dyDescent="0.25">
      <c r="A176" s="84">
        <f>A174+1</f>
        <v>143</v>
      </c>
      <c r="B176" s="85" t="s">
        <v>17</v>
      </c>
      <c r="C176" s="85" t="s">
        <v>286</v>
      </c>
      <c r="D176" s="28" t="s">
        <v>18</v>
      </c>
      <c r="E176" s="29">
        <f t="shared" si="145"/>
        <v>340.8</v>
      </c>
      <c r="F176" s="29">
        <v>0</v>
      </c>
      <c r="G176" s="58">
        <f t="shared" ref="G176" si="174">H176/1.18</f>
        <v>0</v>
      </c>
      <c r="H176" s="58"/>
      <c r="I176" s="30">
        <f t="shared" si="148"/>
        <v>0</v>
      </c>
      <c r="J176" s="31">
        <v>340.8</v>
      </c>
      <c r="K176" s="58">
        <f>L176/1.18</f>
        <v>0</v>
      </c>
      <c r="L176" s="58"/>
      <c r="M176" s="30">
        <f t="shared" si="150"/>
        <v>0</v>
      </c>
      <c r="N176" s="29">
        <v>0</v>
      </c>
      <c r="O176" s="37">
        <f>P176/1.18</f>
        <v>0</v>
      </c>
      <c r="P176" s="30"/>
      <c r="Q176" s="37">
        <f>P176*N176</f>
        <v>0</v>
      </c>
      <c r="R176" s="30">
        <v>0</v>
      </c>
      <c r="S176" s="58">
        <f t="shared" si="173"/>
        <v>0</v>
      </c>
      <c r="T176" s="30"/>
      <c r="U176" s="30">
        <f t="shared" si="153"/>
        <v>0</v>
      </c>
      <c r="V176" s="29">
        <v>0</v>
      </c>
      <c r="W176" s="58">
        <f t="shared" si="170"/>
        <v>0</v>
      </c>
      <c r="X176" s="58"/>
      <c r="Y176" s="30">
        <f t="shared" si="154"/>
        <v>0</v>
      </c>
      <c r="Z176" s="31">
        <v>0</v>
      </c>
      <c r="AA176" s="37">
        <f t="shared" si="171"/>
        <v>0</v>
      </c>
      <c r="AB176" s="58"/>
      <c r="AC176" s="30">
        <f t="shared" si="155"/>
        <v>0</v>
      </c>
      <c r="AD176" s="31">
        <v>0</v>
      </c>
      <c r="AE176" s="37">
        <f>AF176/1.18</f>
        <v>0</v>
      </c>
      <c r="AF176" s="37"/>
      <c r="AG176" s="30">
        <f t="shared" si="157"/>
        <v>0</v>
      </c>
      <c r="AH176" s="30">
        <f t="shared" si="147"/>
        <v>0</v>
      </c>
      <c r="AI176" s="30">
        <f t="shared" si="164"/>
        <v>0</v>
      </c>
      <c r="AJ176" s="31">
        <v>200</v>
      </c>
      <c r="AK176" s="30" t="s">
        <v>314</v>
      </c>
      <c r="AL176" s="32">
        <v>0</v>
      </c>
      <c r="AM176" s="60">
        <f t="shared" si="172"/>
        <v>0</v>
      </c>
      <c r="AN176" s="60"/>
      <c r="AO176" s="32">
        <f t="shared" ref="AO176" si="175">AM176*AJ176</f>
        <v>0</v>
      </c>
      <c r="AP176" s="32">
        <f t="shared" ref="AP176" si="176">AN176*AJ176</f>
        <v>0</v>
      </c>
      <c r="AQ176" s="33">
        <f t="shared" si="144"/>
        <v>0</v>
      </c>
      <c r="AR176" s="82">
        <f t="shared" si="144"/>
        <v>0</v>
      </c>
      <c r="AS176" s="9"/>
      <c r="AT176" s="9"/>
      <c r="AU176" s="9"/>
      <c r="AV176" s="9"/>
      <c r="AW176" s="65"/>
      <c r="AX176" s="65"/>
      <c r="AY176" s="62"/>
      <c r="AZ176" s="62"/>
      <c r="BA176" s="62"/>
      <c r="BB176" s="62"/>
      <c r="BC176" s="62"/>
      <c r="BD176" s="62"/>
      <c r="BE176" s="62"/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BW176" s="62"/>
      <c r="BX176" s="62"/>
      <c r="BY176" s="62"/>
      <c r="BZ176" s="62"/>
      <c r="CA176" s="62"/>
      <c r="CB176" s="62"/>
      <c r="CC176" s="62"/>
      <c r="CD176" s="62"/>
      <c r="CE176" s="62"/>
      <c r="CF176" s="62"/>
      <c r="CG176" s="62"/>
    </row>
    <row r="177" spans="1:85" s="4" customFormat="1" ht="64.5" customHeight="1" outlineLevel="1" x14ac:dyDescent="0.25">
      <c r="A177" s="25">
        <f>A176+1</f>
        <v>144</v>
      </c>
      <c r="B177" s="26" t="s">
        <v>257</v>
      </c>
      <c r="C177" s="27" t="s">
        <v>175</v>
      </c>
      <c r="D177" s="28" t="s">
        <v>18</v>
      </c>
      <c r="E177" s="29">
        <f t="shared" si="145"/>
        <v>2348.6999999999998</v>
      </c>
      <c r="F177" s="29">
        <v>344.6</v>
      </c>
      <c r="G177" s="30">
        <f t="shared" si="138"/>
        <v>0</v>
      </c>
      <c r="H177" s="58"/>
      <c r="I177" s="30">
        <f t="shared" si="148"/>
        <v>0</v>
      </c>
      <c r="J177" s="31">
        <v>1011.4</v>
      </c>
      <c r="K177" s="30">
        <f t="shared" si="149"/>
        <v>0</v>
      </c>
      <c r="L177" s="58"/>
      <c r="M177" s="30">
        <f t="shared" si="150"/>
        <v>0</v>
      </c>
      <c r="N177" s="29">
        <v>0</v>
      </c>
      <c r="O177" s="30">
        <f t="shared" si="151"/>
        <v>0</v>
      </c>
      <c r="P177" s="30"/>
      <c r="Q177" s="30">
        <f t="shared" si="152"/>
        <v>0</v>
      </c>
      <c r="R177" s="30">
        <v>42.4</v>
      </c>
      <c r="S177" s="58">
        <v>4.2</v>
      </c>
      <c r="T177" s="30"/>
      <c r="U177" s="30">
        <f t="shared" si="153"/>
        <v>0</v>
      </c>
      <c r="V177" s="29">
        <f>866.6-9.5</f>
        <v>857.1</v>
      </c>
      <c r="W177" s="58">
        <f t="shared" si="141"/>
        <v>0</v>
      </c>
      <c r="X177" s="58"/>
      <c r="Y177" s="30">
        <f t="shared" si="154"/>
        <v>0</v>
      </c>
      <c r="Z177" s="31">
        <v>35.5</v>
      </c>
      <c r="AA177" s="30">
        <f t="shared" si="142"/>
        <v>0</v>
      </c>
      <c r="AB177" s="58"/>
      <c r="AC177" s="30">
        <f t="shared" si="155"/>
        <v>0</v>
      </c>
      <c r="AD177" s="31">
        <v>57.7</v>
      </c>
      <c r="AE177" s="30">
        <f t="shared" si="156"/>
        <v>0</v>
      </c>
      <c r="AF177" s="30"/>
      <c r="AG177" s="30">
        <f t="shared" si="157"/>
        <v>0</v>
      </c>
      <c r="AH177" s="30">
        <f t="shared" si="147"/>
        <v>0</v>
      </c>
      <c r="AI177" s="30">
        <f t="shared" si="164"/>
        <v>0</v>
      </c>
      <c r="AJ177" s="31">
        <v>93</v>
      </c>
      <c r="AK177" s="30" t="s">
        <v>314</v>
      </c>
      <c r="AL177" s="32">
        <v>0</v>
      </c>
      <c r="AM177" s="60">
        <f t="shared" si="172"/>
        <v>0</v>
      </c>
      <c r="AN177" s="60"/>
      <c r="AO177" s="32">
        <f t="shared" si="159"/>
        <v>0</v>
      </c>
      <c r="AP177" s="32">
        <f t="shared" si="158"/>
        <v>0</v>
      </c>
      <c r="AQ177" s="33">
        <f t="shared" si="144"/>
        <v>0</v>
      </c>
      <c r="AR177" s="82">
        <f t="shared" si="144"/>
        <v>0</v>
      </c>
      <c r="AS177" s="9"/>
      <c r="AT177" s="9"/>
      <c r="AU177" s="9"/>
      <c r="AV177" s="9"/>
      <c r="AW177" s="65"/>
      <c r="AX177" s="65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BW177" s="62"/>
      <c r="BX177" s="62"/>
      <c r="BY177" s="62"/>
      <c r="BZ177" s="62"/>
      <c r="CA177" s="62"/>
      <c r="CB177" s="62"/>
      <c r="CC177" s="62"/>
      <c r="CD177" s="62"/>
      <c r="CE177" s="62"/>
      <c r="CF177" s="62"/>
      <c r="CG177" s="62"/>
    </row>
    <row r="178" spans="1:85" s="4" customFormat="1" ht="64.5" customHeight="1" outlineLevel="1" x14ac:dyDescent="0.25">
      <c r="A178" s="25">
        <f t="shared" ref="A178:A184" si="177">A177+1</f>
        <v>145</v>
      </c>
      <c r="B178" s="26" t="s">
        <v>257</v>
      </c>
      <c r="C178" s="27" t="s">
        <v>176</v>
      </c>
      <c r="D178" s="28" t="s">
        <v>18</v>
      </c>
      <c r="E178" s="29">
        <f t="shared" si="145"/>
        <v>77.399999999999991</v>
      </c>
      <c r="F178" s="29">
        <v>0</v>
      </c>
      <c r="G178" s="30">
        <f t="shared" si="138"/>
        <v>0</v>
      </c>
      <c r="H178" s="58"/>
      <c r="I178" s="30">
        <f t="shared" si="148"/>
        <v>0</v>
      </c>
      <c r="J178" s="31">
        <v>36.799999999999997</v>
      </c>
      <c r="K178" s="30">
        <f t="shared" si="149"/>
        <v>0</v>
      </c>
      <c r="L178" s="58"/>
      <c r="M178" s="30">
        <f t="shared" si="150"/>
        <v>0</v>
      </c>
      <c r="N178" s="29">
        <v>0</v>
      </c>
      <c r="O178" s="30">
        <f t="shared" si="151"/>
        <v>0</v>
      </c>
      <c r="P178" s="30"/>
      <c r="Q178" s="30">
        <f t="shared" si="152"/>
        <v>0</v>
      </c>
      <c r="R178" s="30">
        <v>6.8</v>
      </c>
      <c r="S178" s="30">
        <f t="shared" ref="S178:S180" si="178">T178/1.18</f>
        <v>0</v>
      </c>
      <c r="T178" s="30"/>
      <c r="U178" s="30">
        <f t="shared" si="153"/>
        <v>0</v>
      </c>
      <c r="V178" s="29">
        <v>33.799999999999997</v>
      </c>
      <c r="W178" s="30">
        <f t="shared" si="141"/>
        <v>0</v>
      </c>
      <c r="X178" s="58"/>
      <c r="Y178" s="30">
        <f t="shared" si="154"/>
        <v>0</v>
      </c>
      <c r="Z178" s="31">
        <v>0</v>
      </c>
      <c r="AA178" s="30">
        <f t="shared" si="142"/>
        <v>0</v>
      </c>
      <c r="AB178" s="58"/>
      <c r="AC178" s="30">
        <f t="shared" si="155"/>
        <v>0</v>
      </c>
      <c r="AD178" s="31">
        <v>0</v>
      </c>
      <c r="AE178" s="30">
        <f t="shared" si="156"/>
        <v>0</v>
      </c>
      <c r="AF178" s="30"/>
      <c r="AG178" s="30">
        <f t="shared" si="157"/>
        <v>0</v>
      </c>
      <c r="AH178" s="30">
        <f t="shared" si="147"/>
        <v>0</v>
      </c>
      <c r="AI178" s="30">
        <f t="shared" si="164"/>
        <v>0</v>
      </c>
      <c r="AJ178" s="31">
        <v>0</v>
      </c>
      <c r="AK178" s="30" t="s">
        <v>314</v>
      </c>
      <c r="AL178" s="32">
        <v>0</v>
      </c>
      <c r="AM178" s="60">
        <f t="shared" si="172"/>
        <v>0</v>
      </c>
      <c r="AN178" s="60"/>
      <c r="AO178" s="32">
        <f t="shared" si="159"/>
        <v>0</v>
      </c>
      <c r="AP178" s="32">
        <f t="shared" si="158"/>
        <v>0</v>
      </c>
      <c r="AQ178" s="33">
        <f t="shared" si="144"/>
        <v>0</v>
      </c>
      <c r="AR178" s="82">
        <f t="shared" si="144"/>
        <v>0</v>
      </c>
      <c r="AS178" s="9"/>
      <c r="AT178" s="9"/>
      <c r="AU178" s="9"/>
      <c r="AV178" s="9"/>
      <c r="AW178" s="65"/>
      <c r="AX178" s="65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  <c r="BZ178" s="62"/>
      <c r="CA178" s="62"/>
      <c r="CB178" s="62"/>
      <c r="CC178" s="62"/>
      <c r="CD178" s="62"/>
      <c r="CE178" s="62"/>
      <c r="CF178" s="62"/>
      <c r="CG178" s="62"/>
    </row>
    <row r="179" spans="1:85" s="4" customFormat="1" ht="64.5" customHeight="1" outlineLevel="1" x14ac:dyDescent="0.25">
      <c r="A179" s="25">
        <f t="shared" si="177"/>
        <v>146</v>
      </c>
      <c r="B179" s="26" t="s">
        <v>17</v>
      </c>
      <c r="C179" s="27" t="s">
        <v>177</v>
      </c>
      <c r="D179" s="28" t="s">
        <v>18</v>
      </c>
      <c r="E179" s="29">
        <f t="shared" si="145"/>
        <v>315.90000000000003</v>
      </c>
      <c r="F179" s="29">
        <v>13</v>
      </c>
      <c r="G179" s="30">
        <f t="shared" si="138"/>
        <v>0</v>
      </c>
      <c r="H179" s="58"/>
      <c r="I179" s="30">
        <f t="shared" si="148"/>
        <v>0</v>
      </c>
      <c r="J179" s="31">
        <f>157.9+13.9+30.2</f>
        <v>202</v>
      </c>
      <c r="K179" s="30">
        <f t="shared" si="149"/>
        <v>0</v>
      </c>
      <c r="L179" s="58"/>
      <c r="M179" s="30">
        <f t="shared" si="150"/>
        <v>0</v>
      </c>
      <c r="N179" s="29">
        <v>0</v>
      </c>
      <c r="O179" s="30">
        <f t="shared" si="151"/>
        <v>0</v>
      </c>
      <c r="P179" s="30"/>
      <c r="Q179" s="30">
        <f t="shared" si="152"/>
        <v>0</v>
      </c>
      <c r="R179" s="30">
        <f>7.5</f>
        <v>7.5</v>
      </c>
      <c r="S179" s="30">
        <f t="shared" si="178"/>
        <v>0</v>
      </c>
      <c r="T179" s="30"/>
      <c r="U179" s="30">
        <f t="shared" si="153"/>
        <v>0</v>
      </c>
      <c r="V179" s="29">
        <f>54.1+17+17</f>
        <v>88.1</v>
      </c>
      <c r="W179" s="30">
        <f t="shared" si="141"/>
        <v>0</v>
      </c>
      <c r="X179" s="58"/>
      <c r="Y179" s="30">
        <f t="shared" si="154"/>
        <v>0</v>
      </c>
      <c r="Z179" s="31">
        <v>0</v>
      </c>
      <c r="AA179" s="30">
        <f t="shared" si="142"/>
        <v>0</v>
      </c>
      <c r="AB179" s="58"/>
      <c r="AC179" s="30">
        <f t="shared" si="155"/>
        <v>0</v>
      </c>
      <c r="AD179" s="31">
        <v>5.3</v>
      </c>
      <c r="AE179" s="30">
        <f t="shared" si="156"/>
        <v>0</v>
      </c>
      <c r="AF179" s="30"/>
      <c r="AG179" s="30">
        <f t="shared" si="157"/>
        <v>0</v>
      </c>
      <c r="AH179" s="30">
        <f t="shared" si="147"/>
        <v>0</v>
      </c>
      <c r="AI179" s="30">
        <f t="shared" si="164"/>
        <v>0</v>
      </c>
      <c r="AJ179" s="31">
        <v>50</v>
      </c>
      <c r="AK179" s="30" t="s">
        <v>314</v>
      </c>
      <c r="AL179" s="32">
        <v>0</v>
      </c>
      <c r="AM179" s="60">
        <f t="shared" si="172"/>
        <v>0</v>
      </c>
      <c r="AN179" s="60"/>
      <c r="AO179" s="32">
        <f t="shared" si="159"/>
        <v>0</v>
      </c>
      <c r="AP179" s="32">
        <f t="shared" si="158"/>
        <v>0</v>
      </c>
      <c r="AQ179" s="33">
        <f t="shared" si="144"/>
        <v>0</v>
      </c>
      <c r="AR179" s="82">
        <f t="shared" si="144"/>
        <v>0</v>
      </c>
      <c r="AS179" s="9"/>
      <c r="AT179" s="9"/>
      <c r="AU179" s="9"/>
      <c r="AV179" s="9"/>
      <c r="AW179" s="65"/>
      <c r="AX179" s="65"/>
      <c r="AY179" s="62"/>
      <c r="AZ179" s="62"/>
      <c r="BA179" s="62"/>
      <c r="BB179" s="62"/>
      <c r="BC179" s="62"/>
      <c r="BD179" s="62"/>
      <c r="BE179" s="62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BW179" s="62"/>
      <c r="BX179" s="62"/>
      <c r="BY179" s="62"/>
      <c r="BZ179" s="62"/>
      <c r="CA179" s="62"/>
      <c r="CB179" s="62"/>
      <c r="CC179" s="62"/>
      <c r="CD179" s="62"/>
      <c r="CE179" s="62"/>
      <c r="CF179" s="62"/>
      <c r="CG179" s="62"/>
    </row>
    <row r="180" spans="1:85" s="4" customFormat="1" ht="64.5" customHeight="1" outlineLevel="1" x14ac:dyDescent="0.25">
      <c r="A180" s="25">
        <f t="shared" si="177"/>
        <v>147</v>
      </c>
      <c r="B180" s="26" t="s">
        <v>257</v>
      </c>
      <c r="C180" s="27" t="s">
        <v>178</v>
      </c>
      <c r="D180" s="28" t="s">
        <v>18</v>
      </c>
      <c r="E180" s="29">
        <f t="shared" si="145"/>
        <v>65.7</v>
      </c>
      <c r="F180" s="29">
        <v>0</v>
      </c>
      <c r="G180" s="30">
        <f t="shared" si="138"/>
        <v>0</v>
      </c>
      <c r="H180" s="58"/>
      <c r="I180" s="30">
        <f t="shared" si="148"/>
        <v>0</v>
      </c>
      <c r="J180" s="31">
        <v>33.9</v>
      </c>
      <c r="K180" s="30">
        <f t="shared" si="149"/>
        <v>0</v>
      </c>
      <c r="L180" s="58"/>
      <c r="M180" s="30">
        <f t="shared" si="150"/>
        <v>0</v>
      </c>
      <c r="N180" s="29">
        <v>0</v>
      </c>
      <c r="O180" s="30">
        <f t="shared" si="151"/>
        <v>0</v>
      </c>
      <c r="P180" s="30"/>
      <c r="Q180" s="30">
        <f t="shared" si="152"/>
        <v>0</v>
      </c>
      <c r="R180" s="30">
        <v>14.2</v>
      </c>
      <c r="S180" s="30">
        <f t="shared" si="178"/>
        <v>0</v>
      </c>
      <c r="T180" s="30"/>
      <c r="U180" s="30">
        <f t="shared" si="153"/>
        <v>0</v>
      </c>
      <c r="V180" s="29">
        <v>15.2</v>
      </c>
      <c r="W180" s="30">
        <f t="shared" si="141"/>
        <v>0</v>
      </c>
      <c r="X180" s="58"/>
      <c r="Y180" s="30">
        <f t="shared" si="154"/>
        <v>0</v>
      </c>
      <c r="Z180" s="31">
        <v>0</v>
      </c>
      <c r="AA180" s="30">
        <f t="shared" si="142"/>
        <v>0</v>
      </c>
      <c r="AB180" s="58"/>
      <c r="AC180" s="30">
        <f t="shared" si="155"/>
        <v>0</v>
      </c>
      <c r="AD180" s="31">
        <v>2.4</v>
      </c>
      <c r="AE180" s="30">
        <f t="shared" si="156"/>
        <v>0</v>
      </c>
      <c r="AF180" s="30"/>
      <c r="AG180" s="30">
        <f t="shared" si="157"/>
        <v>0</v>
      </c>
      <c r="AH180" s="30">
        <f t="shared" si="147"/>
        <v>0</v>
      </c>
      <c r="AI180" s="30">
        <f t="shared" si="164"/>
        <v>0</v>
      </c>
      <c r="AJ180" s="31">
        <v>0</v>
      </c>
      <c r="AK180" s="30" t="s">
        <v>314</v>
      </c>
      <c r="AL180" s="32">
        <v>0</v>
      </c>
      <c r="AM180" s="60">
        <f t="shared" si="172"/>
        <v>0</v>
      </c>
      <c r="AN180" s="60"/>
      <c r="AO180" s="32">
        <f t="shared" si="159"/>
        <v>0</v>
      </c>
      <c r="AP180" s="32">
        <f t="shared" si="158"/>
        <v>0</v>
      </c>
      <c r="AQ180" s="33">
        <f t="shared" si="144"/>
        <v>0</v>
      </c>
      <c r="AR180" s="82">
        <f t="shared" si="144"/>
        <v>0</v>
      </c>
      <c r="AS180" s="9"/>
      <c r="AT180" s="9"/>
      <c r="AU180" s="9"/>
      <c r="AV180" s="9"/>
      <c r="AW180" s="65"/>
      <c r="AX180" s="65"/>
      <c r="AY180" s="62"/>
      <c r="AZ180" s="62"/>
      <c r="BA180" s="62"/>
      <c r="BB180" s="62"/>
      <c r="BC180" s="62"/>
      <c r="BD180" s="62"/>
      <c r="BE180" s="62"/>
      <c r="BF180" s="62"/>
      <c r="BG180" s="62"/>
      <c r="BH180" s="62"/>
      <c r="BI180" s="62"/>
      <c r="BJ180" s="62"/>
      <c r="BK180" s="62"/>
      <c r="BL180" s="62"/>
      <c r="BM180" s="62"/>
      <c r="BN180" s="62"/>
      <c r="BO180" s="62"/>
      <c r="BP180" s="62"/>
      <c r="BQ180" s="62"/>
      <c r="BR180" s="62"/>
      <c r="BS180" s="62"/>
      <c r="BT180" s="62"/>
      <c r="BU180" s="62"/>
      <c r="BV180" s="62"/>
      <c r="BW180" s="62"/>
      <c r="BX180" s="62"/>
      <c r="BY180" s="62"/>
      <c r="BZ180" s="62"/>
      <c r="CA180" s="62"/>
      <c r="CB180" s="62"/>
      <c r="CC180" s="62"/>
      <c r="CD180" s="62"/>
      <c r="CE180" s="62"/>
      <c r="CF180" s="62"/>
      <c r="CG180" s="62"/>
    </row>
    <row r="181" spans="1:85" s="4" customFormat="1" ht="79.5" customHeight="1" outlineLevel="1" x14ac:dyDescent="0.25">
      <c r="A181" s="25">
        <f t="shared" si="177"/>
        <v>148</v>
      </c>
      <c r="B181" s="26" t="s">
        <v>256</v>
      </c>
      <c r="C181" s="27" t="s">
        <v>222</v>
      </c>
      <c r="D181" s="28" t="s">
        <v>18</v>
      </c>
      <c r="E181" s="29">
        <f t="shared" si="145"/>
        <v>729.77</v>
      </c>
      <c r="F181" s="29">
        <v>174.8</v>
      </c>
      <c r="G181" s="30">
        <f t="shared" si="138"/>
        <v>0</v>
      </c>
      <c r="H181" s="58"/>
      <c r="I181" s="30">
        <f t="shared" si="148"/>
        <v>0</v>
      </c>
      <c r="J181" s="31">
        <v>269.89999999999998</v>
      </c>
      <c r="K181" s="30">
        <f t="shared" si="149"/>
        <v>0</v>
      </c>
      <c r="L181" s="58"/>
      <c r="M181" s="30">
        <f t="shared" si="150"/>
        <v>0</v>
      </c>
      <c r="N181" s="29">
        <v>0</v>
      </c>
      <c r="O181" s="30">
        <f t="shared" si="151"/>
        <v>0</v>
      </c>
      <c r="P181" s="30"/>
      <c r="Q181" s="30">
        <f t="shared" si="152"/>
        <v>0</v>
      </c>
      <c r="R181" s="30">
        <v>0</v>
      </c>
      <c r="S181" s="30">
        <v>4.2</v>
      </c>
      <c r="T181" s="30"/>
      <c r="U181" s="30">
        <f t="shared" si="153"/>
        <v>0</v>
      </c>
      <c r="V181" s="29">
        <v>251.87</v>
      </c>
      <c r="W181" s="30">
        <f t="shared" si="141"/>
        <v>0</v>
      </c>
      <c r="X181" s="58"/>
      <c r="Y181" s="30">
        <f t="shared" si="154"/>
        <v>0</v>
      </c>
      <c r="Z181" s="31">
        <v>20</v>
      </c>
      <c r="AA181" s="30">
        <f t="shared" si="142"/>
        <v>0</v>
      </c>
      <c r="AB181" s="58"/>
      <c r="AC181" s="30">
        <f t="shared" si="155"/>
        <v>0</v>
      </c>
      <c r="AD181" s="31">
        <v>13.2</v>
      </c>
      <c r="AE181" s="30">
        <f t="shared" si="156"/>
        <v>0</v>
      </c>
      <c r="AF181" s="30"/>
      <c r="AG181" s="30">
        <f t="shared" si="157"/>
        <v>0</v>
      </c>
      <c r="AH181" s="30">
        <f t="shared" si="147"/>
        <v>0</v>
      </c>
      <c r="AI181" s="30">
        <f t="shared" si="164"/>
        <v>0</v>
      </c>
      <c r="AJ181" s="31">
        <v>0</v>
      </c>
      <c r="AK181" s="30" t="s">
        <v>314</v>
      </c>
      <c r="AL181" s="32">
        <v>0</v>
      </c>
      <c r="AM181" s="60">
        <f t="shared" si="172"/>
        <v>0</v>
      </c>
      <c r="AN181" s="60"/>
      <c r="AO181" s="32">
        <f t="shared" si="159"/>
        <v>0</v>
      </c>
      <c r="AP181" s="32">
        <f t="shared" si="158"/>
        <v>0</v>
      </c>
      <c r="AQ181" s="33">
        <f t="shared" si="144"/>
        <v>0</v>
      </c>
      <c r="AR181" s="82">
        <f t="shared" si="144"/>
        <v>0</v>
      </c>
      <c r="AS181" s="9"/>
      <c r="AT181" s="9"/>
      <c r="AU181" s="9"/>
      <c r="AV181" s="9"/>
      <c r="AW181" s="65"/>
      <c r="AX181" s="65"/>
      <c r="AY181" s="62"/>
      <c r="AZ181" s="62"/>
      <c r="BA181" s="62"/>
      <c r="BB181" s="62"/>
      <c r="BC181" s="62"/>
      <c r="BD181" s="62"/>
      <c r="BE181" s="62"/>
      <c r="BF181" s="62"/>
      <c r="BG181" s="62"/>
      <c r="BH181" s="62"/>
      <c r="BI181" s="62"/>
      <c r="BJ181" s="62"/>
      <c r="BK181" s="62"/>
      <c r="BL181" s="62"/>
      <c r="BM181" s="62"/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X181" s="62"/>
      <c r="BY181" s="62"/>
      <c r="BZ181" s="62"/>
      <c r="CA181" s="62"/>
      <c r="CB181" s="62"/>
      <c r="CC181" s="62"/>
      <c r="CD181" s="62"/>
      <c r="CE181" s="62"/>
      <c r="CF181" s="62"/>
      <c r="CG181" s="62"/>
    </row>
    <row r="182" spans="1:85" s="4" customFormat="1" ht="81.75" customHeight="1" outlineLevel="1" x14ac:dyDescent="0.25">
      <c r="A182" s="25">
        <f t="shared" si="177"/>
        <v>149</v>
      </c>
      <c r="B182" s="26" t="s">
        <v>256</v>
      </c>
      <c r="C182" s="27" t="s">
        <v>182</v>
      </c>
      <c r="D182" s="28" t="s">
        <v>18</v>
      </c>
      <c r="E182" s="29">
        <f t="shared" si="145"/>
        <v>464.6</v>
      </c>
      <c r="F182" s="29">
        <f>146</f>
        <v>146</v>
      </c>
      <c r="G182" s="30">
        <f>H182/1.18</f>
        <v>0</v>
      </c>
      <c r="H182" s="58"/>
      <c r="I182" s="30">
        <f>H182*F182</f>
        <v>0</v>
      </c>
      <c r="J182" s="31">
        <f>135.7+14.9</f>
        <v>150.6</v>
      </c>
      <c r="K182" s="30">
        <f>L182/1.18</f>
        <v>0</v>
      </c>
      <c r="L182" s="58"/>
      <c r="M182" s="30">
        <f>L182*J182</f>
        <v>0</v>
      </c>
      <c r="N182" s="29">
        <v>0</v>
      </c>
      <c r="O182" s="30">
        <f>P182/1.18</f>
        <v>0</v>
      </c>
      <c r="P182" s="30"/>
      <c r="Q182" s="30">
        <f>P182*N182</f>
        <v>0</v>
      </c>
      <c r="R182" s="30">
        <v>0</v>
      </c>
      <c r="S182" s="30">
        <f>T182/1.18</f>
        <v>0</v>
      </c>
      <c r="T182" s="30"/>
      <c r="U182" s="30">
        <f>T182*R182</f>
        <v>0</v>
      </c>
      <c r="V182" s="29">
        <f>77.3</f>
        <v>77.3</v>
      </c>
      <c r="W182" s="30">
        <f>X182/1.18</f>
        <v>0</v>
      </c>
      <c r="X182" s="58"/>
      <c r="Y182" s="30">
        <f>X182*V182</f>
        <v>0</v>
      </c>
      <c r="Z182" s="31">
        <v>83.1</v>
      </c>
      <c r="AA182" s="30">
        <f>AB182/1.18</f>
        <v>0</v>
      </c>
      <c r="AB182" s="58"/>
      <c r="AC182" s="30">
        <f>AB182*Z182</f>
        <v>0</v>
      </c>
      <c r="AD182" s="31">
        <v>7.6</v>
      </c>
      <c r="AE182" s="30">
        <f>AF182/1.18</f>
        <v>0</v>
      </c>
      <c r="AF182" s="30"/>
      <c r="AG182" s="30">
        <f>AF182*AD182</f>
        <v>0</v>
      </c>
      <c r="AH182" s="30">
        <f t="shared" si="147"/>
        <v>0</v>
      </c>
      <c r="AI182" s="30">
        <f t="shared" si="164"/>
        <v>0</v>
      </c>
      <c r="AJ182" s="31">
        <v>200</v>
      </c>
      <c r="AK182" s="30" t="s">
        <v>314</v>
      </c>
      <c r="AL182" s="32">
        <v>0</v>
      </c>
      <c r="AM182" s="60">
        <f t="shared" si="172"/>
        <v>0</v>
      </c>
      <c r="AN182" s="60"/>
      <c r="AO182" s="32">
        <f>AM182*AJ182</f>
        <v>0</v>
      </c>
      <c r="AP182" s="32">
        <f>AN182*AJ182</f>
        <v>0</v>
      </c>
      <c r="AQ182" s="33">
        <f t="shared" si="144"/>
        <v>0</v>
      </c>
      <c r="AR182" s="82">
        <f t="shared" si="144"/>
        <v>0</v>
      </c>
      <c r="AS182" s="9"/>
      <c r="AT182" s="9"/>
      <c r="AU182" s="9"/>
      <c r="AV182" s="9"/>
      <c r="AW182" s="65"/>
      <c r="AX182" s="65"/>
      <c r="AY182" s="62"/>
      <c r="AZ182" s="62"/>
      <c r="BA182" s="62"/>
      <c r="BB182" s="62"/>
      <c r="BC182" s="62"/>
      <c r="BD182" s="62"/>
      <c r="BE182" s="62"/>
      <c r="BF182" s="62"/>
      <c r="BG182" s="62"/>
      <c r="BH182" s="62"/>
      <c r="BI182" s="62"/>
      <c r="BJ182" s="62"/>
      <c r="BK182" s="62"/>
      <c r="BL182" s="62"/>
      <c r="BM182" s="62"/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X182" s="62"/>
      <c r="BY182" s="62"/>
      <c r="BZ182" s="62"/>
      <c r="CA182" s="62"/>
      <c r="CB182" s="62"/>
      <c r="CC182" s="62"/>
      <c r="CD182" s="62"/>
      <c r="CE182" s="62"/>
      <c r="CF182" s="62"/>
      <c r="CG182" s="62"/>
    </row>
    <row r="183" spans="1:85" s="4" customFormat="1" ht="64.5" customHeight="1" outlineLevel="1" x14ac:dyDescent="0.25">
      <c r="A183" s="25">
        <f t="shared" si="177"/>
        <v>150</v>
      </c>
      <c r="B183" s="26" t="s">
        <v>256</v>
      </c>
      <c r="C183" s="27" t="s">
        <v>183</v>
      </c>
      <c r="D183" s="28" t="s">
        <v>18</v>
      </c>
      <c r="E183" s="29">
        <f t="shared" si="145"/>
        <v>547.79999999999995</v>
      </c>
      <c r="F183" s="29">
        <f>102.4+50.1</f>
        <v>152.5</v>
      </c>
      <c r="G183" s="30">
        <f>H183/1.18</f>
        <v>0</v>
      </c>
      <c r="H183" s="58"/>
      <c r="I183" s="30">
        <f>H183*F183</f>
        <v>0</v>
      </c>
      <c r="J183" s="31">
        <f>8.9+122.5+10+101.6</f>
        <v>243</v>
      </c>
      <c r="K183" s="30">
        <f>L183/1.18</f>
        <v>0</v>
      </c>
      <c r="L183" s="58"/>
      <c r="M183" s="30">
        <f>L183*J183</f>
        <v>0</v>
      </c>
      <c r="N183" s="29">
        <v>0</v>
      </c>
      <c r="O183" s="30">
        <f>P183/1.18</f>
        <v>0</v>
      </c>
      <c r="P183" s="30"/>
      <c r="Q183" s="30">
        <f>P183*N183</f>
        <v>0</v>
      </c>
      <c r="R183" s="30">
        <v>0</v>
      </c>
      <c r="S183" s="30">
        <f>T183/1.18</f>
        <v>0</v>
      </c>
      <c r="T183" s="30"/>
      <c r="U183" s="30">
        <f>T183*R183</f>
        <v>0</v>
      </c>
      <c r="V183" s="29">
        <f>14.6+16.5+30.1+16.8+15.3+46.4+12.6</f>
        <v>152.29999999999998</v>
      </c>
      <c r="W183" s="30">
        <f>X183/1.18</f>
        <v>0</v>
      </c>
      <c r="X183" s="58"/>
      <c r="Y183" s="30">
        <f>X183*V183</f>
        <v>0</v>
      </c>
      <c r="Z183" s="31">
        <v>0</v>
      </c>
      <c r="AA183" s="30">
        <f>AB183/1.18</f>
        <v>0</v>
      </c>
      <c r="AB183" s="58"/>
      <c r="AC183" s="30">
        <f>AB183*Z183</f>
        <v>0</v>
      </c>
      <c r="AD183" s="31">
        <v>0</v>
      </c>
      <c r="AE183" s="30">
        <f>AF183/1.18</f>
        <v>0</v>
      </c>
      <c r="AF183" s="30"/>
      <c r="AG183" s="30">
        <f>AF183*AD183</f>
        <v>0</v>
      </c>
      <c r="AH183" s="30">
        <f t="shared" si="147"/>
        <v>0</v>
      </c>
      <c r="AI183" s="30">
        <f t="shared" si="164"/>
        <v>0</v>
      </c>
      <c r="AJ183" s="31">
        <v>130</v>
      </c>
      <c r="AK183" s="30" t="s">
        <v>314</v>
      </c>
      <c r="AL183" s="32">
        <v>0</v>
      </c>
      <c r="AM183" s="60">
        <f t="shared" si="172"/>
        <v>0</v>
      </c>
      <c r="AN183" s="60"/>
      <c r="AO183" s="32">
        <f>AM183*AJ183</f>
        <v>0</v>
      </c>
      <c r="AP183" s="32">
        <f>AN183*AJ183</f>
        <v>0</v>
      </c>
      <c r="AQ183" s="33">
        <f t="shared" si="144"/>
        <v>0</v>
      </c>
      <c r="AR183" s="82">
        <f t="shared" si="144"/>
        <v>0</v>
      </c>
      <c r="AS183" s="9"/>
      <c r="AT183" s="9"/>
      <c r="AU183" s="9"/>
      <c r="AV183" s="9"/>
      <c r="AW183" s="65"/>
      <c r="AX183" s="65"/>
      <c r="AY183" s="62"/>
      <c r="AZ183" s="62"/>
      <c r="BA183" s="62"/>
      <c r="BB183" s="62"/>
      <c r="BC183" s="62"/>
      <c r="BD183" s="62"/>
      <c r="BE183" s="62"/>
      <c r="BF183" s="62"/>
      <c r="BG183" s="62"/>
      <c r="BH183" s="62"/>
      <c r="BI183" s="62"/>
      <c r="BJ183" s="62"/>
      <c r="BK183" s="62"/>
      <c r="BL183" s="62"/>
      <c r="BM183" s="62"/>
      <c r="BN183" s="62"/>
      <c r="BO183" s="62"/>
      <c r="BP183" s="62"/>
      <c r="BQ183" s="62"/>
      <c r="BR183" s="62"/>
      <c r="BS183" s="62"/>
      <c r="BT183" s="62"/>
      <c r="BU183" s="62"/>
      <c r="BV183" s="62"/>
      <c r="BW183" s="62"/>
      <c r="BX183" s="62"/>
      <c r="BY183" s="62"/>
      <c r="BZ183" s="62"/>
      <c r="CA183" s="62"/>
      <c r="CB183" s="62"/>
      <c r="CC183" s="62"/>
      <c r="CD183" s="62"/>
      <c r="CE183" s="62"/>
      <c r="CF183" s="62"/>
      <c r="CG183" s="62"/>
    </row>
    <row r="184" spans="1:85" s="4" customFormat="1" ht="64.5" customHeight="1" outlineLevel="1" x14ac:dyDescent="0.25">
      <c r="A184" s="25">
        <f t="shared" si="177"/>
        <v>151</v>
      </c>
      <c r="B184" s="26" t="s">
        <v>256</v>
      </c>
      <c r="C184" s="27" t="s">
        <v>184</v>
      </c>
      <c r="D184" s="28" t="s">
        <v>18</v>
      </c>
      <c r="E184" s="29">
        <f t="shared" si="145"/>
        <v>675.2</v>
      </c>
      <c r="F184" s="29">
        <f>41.4+11.1+62</f>
        <v>114.5</v>
      </c>
      <c r="G184" s="30">
        <f t="shared" ref="G184" si="179">H184/1.18</f>
        <v>0</v>
      </c>
      <c r="H184" s="58"/>
      <c r="I184" s="30">
        <f t="shared" ref="I184" si="180">H184*F184</f>
        <v>0</v>
      </c>
      <c r="J184" s="31">
        <f>205.7+23.1+55.1</f>
        <v>283.89999999999998</v>
      </c>
      <c r="K184" s="30">
        <f t="shared" ref="K184" si="181">L184/1.18</f>
        <v>0</v>
      </c>
      <c r="L184" s="58"/>
      <c r="M184" s="30">
        <f t="shared" ref="M184" si="182">L184*J184</f>
        <v>0</v>
      </c>
      <c r="N184" s="29">
        <v>0</v>
      </c>
      <c r="O184" s="30">
        <f t="shared" ref="O184" si="183">P184/1.18</f>
        <v>0</v>
      </c>
      <c r="P184" s="30"/>
      <c r="Q184" s="30">
        <f t="shared" ref="Q184" si="184">P184*N184</f>
        <v>0</v>
      </c>
      <c r="R184" s="30">
        <v>27.1</v>
      </c>
      <c r="S184" s="30">
        <f t="shared" ref="S184" si="185">T184/1.18</f>
        <v>0</v>
      </c>
      <c r="T184" s="30"/>
      <c r="U184" s="30">
        <f t="shared" ref="U184" si="186">T184*R184</f>
        <v>0</v>
      </c>
      <c r="V184" s="29">
        <f>35.7+8.6+40.3+65.2+9.3</f>
        <v>159.10000000000002</v>
      </c>
      <c r="W184" s="30">
        <f t="shared" ref="W184" si="187">X184/1.18</f>
        <v>0</v>
      </c>
      <c r="X184" s="58"/>
      <c r="Y184" s="30">
        <f t="shared" ref="Y184" si="188">X184*V184</f>
        <v>0</v>
      </c>
      <c r="Z184" s="31">
        <f>55.1+27</f>
        <v>82.1</v>
      </c>
      <c r="AA184" s="30">
        <f t="shared" ref="AA184" si="189">AB184/1.18</f>
        <v>0</v>
      </c>
      <c r="AB184" s="58"/>
      <c r="AC184" s="30">
        <f t="shared" ref="AC184" si="190">AB184*Z184</f>
        <v>0</v>
      </c>
      <c r="AD184" s="31">
        <v>8.5</v>
      </c>
      <c r="AE184" s="30">
        <f t="shared" ref="AE184" si="191">AF184/1.18</f>
        <v>0</v>
      </c>
      <c r="AF184" s="30"/>
      <c r="AG184" s="30">
        <f t="shared" ref="AG184" si="192">AF184*AD184</f>
        <v>0</v>
      </c>
      <c r="AH184" s="30">
        <f t="shared" si="147"/>
        <v>0</v>
      </c>
      <c r="AI184" s="30">
        <f t="shared" si="164"/>
        <v>0</v>
      </c>
      <c r="AJ184" s="31">
        <v>0</v>
      </c>
      <c r="AK184" s="30" t="s">
        <v>314</v>
      </c>
      <c r="AL184" s="32">
        <v>0</v>
      </c>
      <c r="AM184" s="60">
        <f t="shared" si="172"/>
        <v>0</v>
      </c>
      <c r="AN184" s="60"/>
      <c r="AO184" s="32">
        <f>AM184*AJ184</f>
        <v>0</v>
      </c>
      <c r="AP184" s="32">
        <f>AN184*AJ184</f>
        <v>0</v>
      </c>
      <c r="AQ184" s="33">
        <f t="shared" si="144"/>
        <v>0</v>
      </c>
      <c r="AR184" s="82">
        <f t="shared" si="144"/>
        <v>0</v>
      </c>
      <c r="AS184" s="9"/>
      <c r="AT184" s="9"/>
      <c r="AU184" s="9"/>
      <c r="AV184" s="9"/>
      <c r="AW184" s="65"/>
      <c r="AX184" s="65"/>
      <c r="AY184" s="62"/>
      <c r="AZ184" s="62"/>
      <c r="BA184" s="62"/>
      <c r="BB184" s="62"/>
      <c r="BC184" s="62"/>
      <c r="BD184" s="62"/>
      <c r="BE184" s="62"/>
      <c r="BF184" s="62"/>
      <c r="BG184" s="62"/>
      <c r="BH184" s="62"/>
      <c r="BI184" s="62"/>
      <c r="BJ184" s="62"/>
      <c r="BK184" s="62"/>
      <c r="BL184" s="62"/>
      <c r="BM184" s="62"/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X184" s="62"/>
      <c r="BY184" s="62"/>
      <c r="BZ184" s="62"/>
      <c r="CA184" s="62"/>
      <c r="CB184" s="62"/>
      <c r="CC184" s="62"/>
      <c r="CD184" s="62"/>
      <c r="CE184" s="62"/>
      <c r="CF184" s="62"/>
      <c r="CG184" s="62"/>
    </row>
    <row r="185" spans="1:85" s="44" customFormat="1" ht="64.5" customHeight="1" outlineLevel="1" x14ac:dyDescent="0.3">
      <c r="A185" s="143" t="s">
        <v>62</v>
      </c>
      <c r="B185" s="144"/>
      <c r="C185" s="144"/>
      <c r="D185" s="101"/>
      <c r="E185" s="29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  <c r="AE185" s="101"/>
      <c r="AF185" s="101"/>
      <c r="AG185" s="101"/>
      <c r="AH185" s="30"/>
      <c r="AI185" s="30"/>
      <c r="AJ185" s="101"/>
      <c r="AK185" s="30"/>
      <c r="AL185" s="101"/>
      <c r="AM185" s="101"/>
      <c r="AN185" s="101"/>
      <c r="AO185" s="101"/>
      <c r="AP185" s="101"/>
      <c r="AQ185" s="111"/>
      <c r="AR185" s="126"/>
      <c r="AS185" s="42"/>
      <c r="AT185" s="42"/>
      <c r="AU185" s="42"/>
      <c r="AV185" s="42"/>
      <c r="AW185" s="118"/>
      <c r="AX185" s="118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  <c r="BO185" s="64"/>
      <c r="BP185" s="64"/>
      <c r="BQ185" s="64"/>
      <c r="BR185" s="64"/>
      <c r="BS185" s="64"/>
      <c r="BT185" s="64"/>
      <c r="BU185" s="64"/>
      <c r="BV185" s="64"/>
      <c r="BW185" s="64"/>
      <c r="BX185" s="64"/>
      <c r="BY185" s="64"/>
      <c r="BZ185" s="64"/>
      <c r="CA185" s="64"/>
      <c r="CB185" s="64"/>
      <c r="CC185" s="64"/>
      <c r="CD185" s="64"/>
      <c r="CE185" s="64"/>
      <c r="CF185" s="64"/>
      <c r="CG185" s="64"/>
    </row>
    <row r="186" spans="1:85" s="4" customFormat="1" ht="64.5" customHeight="1" outlineLevel="1" x14ac:dyDescent="0.25">
      <c r="A186" s="25">
        <f>A184+1</f>
        <v>152</v>
      </c>
      <c r="B186" s="26" t="s">
        <v>256</v>
      </c>
      <c r="C186" s="27" t="s">
        <v>185</v>
      </c>
      <c r="D186" s="28" t="s">
        <v>18</v>
      </c>
      <c r="E186" s="29">
        <f t="shared" si="145"/>
        <v>656.49999999999989</v>
      </c>
      <c r="F186" s="29">
        <f>146.1+47.1+33.2</f>
        <v>226.39999999999998</v>
      </c>
      <c r="G186" s="30">
        <f t="shared" si="138"/>
        <v>0</v>
      </c>
      <c r="H186" s="30"/>
      <c r="I186" s="30">
        <f t="shared" si="148"/>
        <v>0</v>
      </c>
      <c r="J186" s="31">
        <f>62.3+17.5+52.8+57.6</f>
        <v>190.2</v>
      </c>
      <c r="K186" s="30">
        <f t="shared" si="149"/>
        <v>0</v>
      </c>
      <c r="L186" s="30"/>
      <c r="M186" s="30">
        <f t="shared" si="150"/>
        <v>0</v>
      </c>
      <c r="N186" s="29">
        <v>0</v>
      </c>
      <c r="O186" s="30">
        <f t="shared" si="151"/>
        <v>0</v>
      </c>
      <c r="P186" s="30"/>
      <c r="Q186" s="30">
        <f t="shared" si="152"/>
        <v>0</v>
      </c>
      <c r="R186" s="30">
        <v>0</v>
      </c>
      <c r="S186" s="30">
        <f t="shared" ref="S186:S202" si="193">T186/1.18</f>
        <v>0</v>
      </c>
      <c r="T186" s="30"/>
      <c r="U186" s="30">
        <f t="shared" si="153"/>
        <v>0</v>
      </c>
      <c r="V186" s="29">
        <f>15.9+23.8+35.8+17.6+9.2+10.8+63.4+35.2+10.4</f>
        <v>222.1</v>
      </c>
      <c r="W186" s="30">
        <f t="shared" si="141"/>
        <v>0</v>
      </c>
      <c r="X186" s="30"/>
      <c r="Y186" s="30">
        <f t="shared" si="154"/>
        <v>0</v>
      </c>
      <c r="Z186" s="31">
        <v>0</v>
      </c>
      <c r="AA186" s="30">
        <f t="shared" si="142"/>
        <v>0</v>
      </c>
      <c r="AB186" s="58"/>
      <c r="AC186" s="30">
        <f t="shared" si="155"/>
        <v>0</v>
      </c>
      <c r="AD186" s="31">
        <v>17.8</v>
      </c>
      <c r="AE186" s="30">
        <f t="shared" si="156"/>
        <v>0</v>
      </c>
      <c r="AF186" s="30"/>
      <c r="AG186" s="30">
        <f t="shared" si="157"/>
        <v>0</v>
      </c>
      <c r="AH186" s="30">
        <f t="shared" si="147"/>
        <v>0</v>
      </c>
      <c r="AI186" s="30">
        <f t="shared" si="164"/>
        <v>0</v>
      </c>
      <c r="AJ186" s="31">
        <v>375</v>
      </c>
      <c r="AK186" s="30" t="s">
        <v>314</v>
      </c>
      <c r="AL186" s="32">
        <v>0</v>
      </c>
      <c r="AM186" s="32">
        <f t="shared" si="167"/>
        <v>0</v>
      </c>
      <c r="AN186" s="32"/>
      <c r="AO186" s="32">
        <f t="shared" si="159"/>
        <v>0</v>
      </c>
      <c r="AP186" s="32">
        <f t="shared" si="158"/>
        <v>0</v>
      </c>
      <c r="AQ186" s="33">
        <f t="shared" si="144"/>
        <v>0</v>
      </c>
      <c r="AR186" s="82">
        <f t="shared" si="144"/>
        <v>0</v>
      </c>
      <c r="AS186" s="9"/>
      <c r="AT186" s="9"/>
      <c r="AU186" s="9"/>
      <c r="AV186" s="9"/>
      <c r="AW186" s="65"/>
      <c r="AX186" s="65"/>
      <c r="AY186" s="62"/>
      <c r="AZ186" s="62"/>
      <c r="BA186" s="62"/>
      <c r="BB186" s="62"/>
      <c r="BC186" s="62"/>
      <c r="BD186" s="62"/>
      <c r="BE186" s="62"/>
      <c r="BF186" s="62"/>
      <c r="BG186" s="62"/>
      <c r="BH186" s="62"/>
      <c r="BI186" s="62"/>
      <c r="BJ186" s="62"/>
      <c r="BK186" s="62"/>
      <c r="BL186" s="62"/>
      <c r="BM186" s="62"/>
      <c r="BN186" s="62"/>
      <c r="BO186" s="62"/>
      <c r="BP186" s="62"/>
      <c r="BQ186" s="62"/>
      <c r="BR186" s="62"/>
      <c r="BS186" s="62"/>
      <c r="BT186" s="62"/>
      <c r="BU186" s="62"/>
      <c r="BV186" s="62"/>
      <c r="BW186" s="62"/>
      <c r="BX186" s="62"/>
      <c r="BY186" s="62"/>
      <c r="BZ186" s="62"/>
      <c r="CA186" s="62"/>
      <c r="CB186" s="62"/>
      <c r="CC186" s="62"/>
      <c r="CD186" s="62"/>
      <c r="CE186" s="62"/>
      <c r="CF186" s="62"/>
      <c r="CG186" s="62"/>
    </row>
    <row r="187" spans="1:85" s="4" customFormat="1" ht="64.5" customHeight="1" outlineLevel="1" x14ac:dyDescent="0.25">
      <c r="A187" s="145" t="s">
        <v>241</v>
      </c>
      <c r="B187" s="146"/>
      <c r="C187" s="146"/>
      <c r="D187" s="106"/>
      <c r="E187" s="29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  <c r="AG187" s="106"/>
      <c r="AH187" s="30"/>
      <c r="AI187" s="30"/>
      <c r="AJ187" s="106"/>
      <c r="AK187" s="30"/>
      <c r="AL187" s="106"/>
      <c r="AM187" s="106"/>
      <c r="AN187" s="106"/>
      <c r="AO187" s="106"/>
      <c r="AP187" s="106"/>
      <c r="AQ187" s="111"/>
      <c r="AR187" s="126"/>
      <c r="AS187" s="9"/>
      <c r="AT187" s="9"/>
      <c r="AU187" s="9"/>
      <c r="AV187" s="9"/>
      <c r="AW187" s="65"/>
      <c r="AX187" s="65"/>
      <c r="AY187" s="62"/>
      <c r="AZ187" s="62"/>
      <c r="BA187" s="62"/>
      <c r="BB187" s="62"/>
      <c r="BC187" s="62"/>
      <c r="BD187" s="62"/>
      <c r="BE187" s="62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  <c r="BZ187" s="62"/>
      <c r="CA187" s="62"/>
      <c r="CB187" s="62"/>
      <c r="CC187" s="62"/>
      <c r="CD187" s="62"/>
      <c r="CE187" s="62"/>
      <c r="CF187" s="62"/>
      <c r="CG187" s="62"/>
    </row>
    <row r="188" spans="1:85" s="4" customFormat="1" ht="64.5" customHeight="1" outlineLevel="1" x14ac:dyDescent="0.25">
      <c r="A188" s="25">
        <f>A186+1</f>
        <v>153</v>
      </c>
      <c r="B188" s="26" t="s">
        <v>260</v>
      </c>
      <c r="C188" s="27" t="s">
        <v>202</v>
      </c>
      <c r="D188" s="28" t="s">
        <v>18</v>
      </c>
      <c r="E188" s="29">
        <f t="shared" si="145"/>
        <v>4342.6499999999996</v>
      </c>
      <c r="F188" s="29">
        <v>1076.2</v>
      </c>
      <c r="G188" s="30">
        <f t="shared" ref="G188:G200" si="194">H188/1.18</f>
        <v>0</v>
      </c>
      <c r="H188" s="30"/>
      <c r="I188" s="30">
        <f>H188*F188</f>
        <v>0</v>
      </c>
      <c r="J188" s="31">
        <v>1820.6</v>
      </c>
      <c r="K188" s="30">
        <f>L188/1.18</f>
        <v>0</v>
      </c>
      <c r="L188" s="30"/>
      <c r="M188" s="30">
        <f>L188*J188</f>
        <v>0</v>
      </c>
      <c r="N188" s="29">
        <v>0</v>
      </c>
      <c r="O188" s="30">
        <f>P188/1.18</f>
        <v>0</v>
      </c>
      <c r="P188" s="30"/>
      <c r="Q188" s="30">
        <f>P188*N188</f>
        <v>0</v>
      </c>
      <c r="R188" s="30">
        <v>115.6</v>
      </c>
      <c r="S188" s="30">
        <f>T188/1.18</f>
        <v>0</v>
      </c>
      <c r="T188" s="30"/>
      <c r="U188" s="30">
        <f>T188*R188</f>
        <v>0</v>
      </c>
      <c r="V188" s="29">
        <f>947.75+257</f>
        <v>1204.75</v>
      </c>
      <c r="W188" s="30">
        <f t="shared" ref="W188:W200" si="195">X188/1.18</f>
        <v>0</v>
      </c>
      <c r="X188" s="30"/>
      <c r="Y188" s="30">
        <f>X188*V188</f>
        <v>0</v>
      </c>
      <c r="Z188" s="31">
        <v>50.1</v>
      </c>
      <c r="AA188" s="30">
        <f t="shared" ref="AA188:AA200" si="196">AB188/1.18</f>
        <v>0</v>
      </c>
      <c r="AB188" s="58"/>
      <c r="AC188" s="30">
        <f>AB188*Z188</f>
        <v>0</v>
      </c>
      <c r="AD188" s="31">
        <v>75.400000000000006</v>
      </c>
      <c r="AE188" s="30">
        <f>AF188/1.18</f>
        <v>0</v>
      </c>
      <c r="AF188" s="30"/>
      <c r="AG188" s="30">
        <f>AF188*AD188</f>
        <v>0</v>
      </c>
      <c r="AH188" s="30">
        <f t="shared" si="147"/>
        <v>0</v>
      </c>
      <c r="AI188" s="30">
        <f t="shared" si="164"/>
        <v>0</v>
      </c>
      <c r="AJ188" s="31">
        <v>1060.5</v>
      </c>
      <c r="AK188" s="30" t="s">
        <v>314</v>
      </c>
      <c r="AL188" s="32">
        <v>0</v>
      </c>
      <c r="AM188" s="32">
        <f t="shared" ref="AM188:AM200" si="197">AN188/1.18</f>
        <v>0</v>
      </c>
      <c r="AN188" s="32"/>
      <c r="AO188" s="32">
        <f>AM188*AJ188</f>
        <v>0</v>
      </c>
      <c r="AP188" s="32">
        <f>AN188*AJ188</f>
        <v>0</v>
      </c>
      <c r="AQ188" s="33">
        <f t="shared" si="144"/>
        <v>0</v>
      </c>
      <c r="AR188" s="82">
        <f t="shared" si="144"/>
        <v>0</v>
      </c>
      <c r="AS188" s="9"/>
      <c r="AT188" s="9"/>
      <c r="AU188" s="9"/>
      <c r="AV188" s="9"/>
      <c r="AW188" s="65"/>
      <c r="AX188" s="65"/>
      <c r="AY188" s="62"/>
      <c r="AZ188" s="62"/>
      <c r="BA188" s="62"/>
      <c r="BB188" s="62"/>
      <c r="BC188" s="62"/>
      <c r="BD188" s="62"/>
      <c r="BE188" s="62"/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  <c r="BZ188" s="62"/>
      <c r="CA188" s="62"/>
      <c r="CB188" s="62"/>
      <c r="CC188" s="62"/>
      <c r="CD188" s="62"/>
      <c r="CE188" s="62"/>
      <c r="CF188" s="62"/>
      <c r="CG188" s="62"/>
    </row>
    <row r="189" spans="1:85" s="4" customFormat="1" ht="64.5" customHeight="1" outlineLevel="1" x14ac:dyDescent="0.25">
      <c r="A189" s="25">
        <f>A188+1</f>
        <v>154</v>
      </c>
      <c r="B189" s="26" t="s">
        <v>256</v>
      </c>
      <c r="C189" s="27" t="s">
        <v>189</v>
      </c>
      <c r="D189" s="28" t="s">
        <v>18</v>
      </c>
      <c r="E189" s="29">
        <f t="shared" si="145"/>
        <v>790.20000000000016</v>
      </c>
      <c r="F189" s="29">
        <f>154.8</f>
        <v>154.80000000000001</v>
      </c>
      <c r="G189" s="30">
        <f t="shared" si="194"/>
        <v>0</v>
      </c>
      <c r="H189" s="30"/>
      <c r="I189" s="30">
        <f>H189*F189</f>
        <v>0</v>
      </c>
      <c r="J189" s="31">
        <f>43.7+146.9+235.7</f>
        <v>426.3</v>
      </c>
      <c r="K189" s="30">
        <f>L189/1.18</f>
        <v>0</v>
      </c>
      <c r="L189" s="30"/>
      <c r="M189" s="30">
        <f>L189*J189</f>
        <v>0</v>
      </c>
      <c r="N189" s="29">
        <v>58.2</v>
      </c>
      <c r="O189" s="30">
        <f>P189/1.18</f>
        <v>0</v>
      </c>
      <c r="P189" s="30"/>
      <c r="Q189" s="30">
        <f>P189*N189</f>
        <v>0</v>
      </c>
      <c r="R189" s="30">
        <v>0</v>
      </c>
      <c r="S189" s="30">
        <f>T189/1.18</f>
        <v>0</v>
      </c>
      <c r="T189" s="30"/>
      <c r="U189" s="30">
        <f>T189*R189</f>
        <v>0</v>
      </c>
      <c r="V189" s="29">
        <f>15.8+28.8+28.8+43.4+16</f>
        <v>132.80000000000001</v>
      </c>
      <c r="W189" s="30">
        <f t="shared" si="195"/>
        <v>0</v>
      </c>
      <c r="X189" s="30"/>
      <c r="Y189" s="30">
        <f>X189*V189</f>
        <v>0</v>
      </c>
      <c r="Z189" s="31">
        <v>0</v>
      </c>
      <c r="AA189" s="30">
        <f t="shared" si="196"/>
        <v>0</v>
      </c>
      <c r="AB189" s="58"/>
      <c r="AC189" s="30">
        <f>AB189*Z189</f>
        <v>0</v>
      </c>
      <c r="AD189" s="31">
        <v>18.100000000000001</v>
      </c>
      <c r="AE189" s="30">
        <f>AF189/1.18</f>
        <v>0</v>
      </c>
      <c r="AF189" s="30"/>
      <c r="AG189" s="30">
        <f>AF189*AD189</f>
        <v>0</v>
      </c>
      <c r="AH189" s="30">
        <f t="shared" si="147"/>
        <v>0</v>
      </c>
      <c r="AI189" s="30">
        <f t="shared" si="164"/>
        <v>0</v>
      </c>
      <c r="AJ189" s="31">
        <f>460*2</f>
        <v>920</v>
      </c>
      <c r="AK189" s="30" t="s">
        <v>314</v>
      </c>
      <c r="AL189" s="32">
        <v>0</v>
      </c>
      <c r="AM189" s="32">
        <f t="shared" si="197"/>
        <v>0</v>
      </c>
      <c r="AN189" s="32"/>
      <c r="AO189" s="32">
        <f>AM189*AJ189</f>
        <v>0</v>
      </c>
      <c r="AP189" s="32">
        <f>AN189*AJ189</f>
        <v>0</v>
      </c>
      <c r="AQ189" s="33">
        <f t="shared" si="144"/>
        <v>0</v>
      </c>
      <c r="AR189" s="82">
        <f t="shared" si="144"/>
        <v>0</v>
      </c>
      <c r="AS189" s="9"/>
      <c r="AT189" s="9"/>
      <c r="AU189" s="9"/>
      <c r="AV189" s="9"/>
      <c r="AW189" s="65"/>
      <c r="AX189" s="65"/>
      <c r="AY189" s="62"/>
      <c r="AZ189" s="62"/>
      <c r="BA189" s="62"/>
      <c r="BB189" s="62"/>
      <c r="BC189" s="62"/>
      <c r="BD189" s="62"/>
      <c r="BE189" s="62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  <c r="BT189" s="62"/>
      <c r="BU189" s="62"/>
      <c r="BV189" s="62"/>
      <c r="BW189" s="62"/>
      <c r="BX189" s="62"/>
      <c r="BY189" s="62"/>
      <c r="BZ189" s="62"/>
      <c r="CA189" s="62"/>
      <c r="CB189" s="62"/>
      <c r="CC189" s="62"/>
      <c r="CD189" s="62"/>
      <c r="CE189" s="62"/>
      <c r="CF189" s="62"/>
      <c r="CG189" s="62"/>
    </row>
    <row r="190" spans="1:85" s="4" customFormat="1" ht="64.5" customHeight="1" outlineLevel="1" x14ac:dyDescent="0.25">
      <c r="A190" s="145" t="s">
        <v>240</v>
      </c>
      <c r="B190" s="146"/>
      <c r="C190" s="146"/>
      <c r="D190" s="106"/>
      <c r="E190" s="29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30"/>
      <c r="AI190" s="30"/>
      <c r="AJ190" s="106"/>
      <c r="AK190" s="30"/>
      <c r="AL190" s="106"/>
      <c r="AM190" s="106"/>
      <c r="AN190" s="106"/>
      <c r="AO190" s="106"/>
      <c r="AP190" s="106"/>
      <c r="AQ190" s="111"/>
      <c r="AR190" s="126"/>
      <c r="AS190" s="9"/>
      <c r="AT190" s="9"/>
      <c r="AU190" s="9"/>
      <c r="AV190" s="9"/>
      <c r="AW190" s="65"/>
      <c r="AX190" s="65"/>
      <c r="AY190" s="62"/>
      <c r="AZ190" s="62"/>
      <c r="BA190" s="62"/>
      <c r="BB190" s="62"/>
      <c r="BC190" s="62"/>
      <c r="BD190" s="62"/>
      <c r="BE190" s="62"/>
      <c r="BF190" s="62"/>
      <c r="BG190" s="62"/>
      <c r="BH190" s="62"/>
      <c r="BI190" s="62"/>
      <c r="BJ190" s="62"/>
      <c r="BK190" s="62"/>
      <c r="BL190" s="62"/>
      <c r="BM190" s="62"/>
      <c r="BN190" s="62"/>
      <c r="BO190" s="62"/>
      <c r="BP190" s="62"/>
      <c r="BQ190" s="62"/>
      <c r="BR190" s="62"/>
      <c r="BS190" s="62"/>
      <c r="BT190" s="62"/>
      <c r="BU190" s="62"/>
      <c r="BV190" s="62"/>
      <c r="BW190" s="62"/>
      <c r="BX190" s="62"/>
      <c r="BY190" s="62"/>
      <c r="BZ190" s="62"/>
      <c r="CA190" s="62"/>
      <c r="CB190" s="62"/>
      <c r="CC190" s="62"/>
      <c r="CD190" s="62"/>
      <c r="CE190" s="62"/>
      <c r="CF190" s="62"/>
      <c r="CG190" s="62"/>
    </row>
    <row r="191" spans="1:85" s="4" customFormat="1" ht="64.5" customHeight="1" outlineLevel="1" x14ac:dyDescent="0.25">
      <c r="A191" s="25">
        <f>A189+1</f>
        <v>155</v>
      </c>
      <c r="B191" s="26" t="s">
        <v>256</v>
      </c>
      <c r="C191" s="27" t="s">
        <v>195</v>
      </c>
      <c r="D191" s="28" t="s">
        <v>18</v>
      </c>
      <c r="E191" s="29">
        <f t="shared" si="145"/>
        <v>4854.9999999999991</v>
      </c>
      <c r="F191" s="29">
        <f>707.1+157.5</f>
        <v>864.6</v>
      </c>
      <c r="G191" s="30">
        <f t="shared" si="194"/>
        <v>0</v>
      </c>
      <c r="H191" s="30"/>
      <c r="I191" s="30">
        <f t="shared" ref="I191:I196" si="198">H191*F191</f>
        <v>0</v>
      </c>
      <c r="J191" s="31">
        <v>1678.1</v>
      </c>
      <c r="K191" s="30">
        <f t="shared" ref="K191:K196" si="199">L191/1.18</f>
        <v>0</v>
      </c>
      <c r="L191" s="30"/>
      <c r="M191" s="30">
        <f t="shared" ref="M191:M196" si="200">L191*J191</f>
        <v>0</v>
      </c>
      <c r="N191" s="29">
        <v>115.6</v>
      </c>
      <c r="O191" s="30">
        <f t="shared" ref="O191:O196" si="201">P191/1.18</f>
        <v>0</v>
      </c>
      <c r="P191" s="30"/>
      <c r="Q191" s="30">
        <f t="shared" ref="Q191:Q196" si="202">P191*N191</f>
        <v>0</v>
      </c>
      <c r="R191" s="30">
        <v>111.8</v>
      </c>
      <c r="S191" s="30">
        <f>T191/1.18</f>
        <v>0</v>
      </c>
      <c r="T191" s="30"/>
      <c r="U191" s="30">
        <f t="shared" ref="U191:U196" si="203">T191*R191</f>
        <v>0</v>
      </c>
      <c r="V191" s="29">
        <f>1727.1+150</f>
        <v>1877.1</v>
      </c>
      <c r="W191" s="30">
        <f t="shared" si="195"/>
        <v>0</v>
      </c>
      <c r="X191" s="30"/>
      <c r="Y191" s="30">
        <f t="shared" ref="Y191:Y196" si="204">X191*V191</f>
        <v>0</v>
      </c>
      <c r="Z191" s="31">
        <f>155.5+0.4</f>
        <v>155.9</v>
      </c>
      <c r="AA191" s="30">
        <f t="shared" si="196"/>
        <v>0</v>
      </c>
      <c r="AB191" s="58"/>
      <c r="AC191" s="30">
        <f t="shared" ref="AC191:AC196" si="205">AB191*Z191</f>
        <v>0</v>
      </c>
      <c r="AD191" s="31">
        <v>51.9</v>
      </c>
      <c r="AE191" s="30">
        <f t="shared" ref="AE191:AE196" si="206">AF191/1.18</f>
        <v>0</v>
      </c>
      <c r="AF191" s="30"/>
      <c r="AG191" s="30">
        <f t="shared" ref="AG191:AG196" si="207">AF191*AD191</f>
        <v>0</v>
      </c>
      <c r="AH191" s="30">
        <f t="shared" si="147"/>
        <v>0</v>
      </c>
      <c r="AI191" s="30">
        <f t="shared" si="164"/>
        <v>0</v>
      </c>
      <c r="AJ191" s="31">
        <f>300*5</f>
        <v>1500</v>
      </c>
      <c r="AK191" s="30" t="s">
        <v>314</v>
      </c>
      <c r="AL191" s="32">
        <v>0</v>
      </c>
      <c r="AM191" s="32">
        <f t="shared" si="197"/>
        <v>0</v>
      </c>
      <c r="AN191" s="32"/>
      <c r="AO191" s="32">
        <f t="shared" ref="AO191:AO196" si="208">AM191*AJ191</f>
        <v>0</v>
      </c>
      <c r="AP191" s="32">
        <f t="shared" ref="AP191:AP196" si="209">AN191*AJ191</f>
        <v>0</v>
      </c>
      <c r="AQ191" s="33">
        <f t="shared" si="144"/>
        <v>0</v>
      </c>
      <c r="AR191" s="82">
        <f t="shared" si="144"/>
        <v>0</v>
      </c>
      <c r="AS191" s="9"/>
      <c r="AT191" s="9"/>
      <c r="AU191" s="9"/>
      <c r="AV191" s="9"/>
      <c r="AW191" s="65"/>
      <c r="AX191" s="65"/>
      <c r="AY191" s="62"/>
      <c r="AZ191" s="62"/>
      <c r="BA191" s="62"/>
      <c r="BB191" s="62"/>
      <c r="BC191" s="62"/>
      <c r="BD191" s="62"/>
      <c r="BE191" s="62"/>
      <c r="BF191" s="62"/>
      <c r="BG191" s="62"/>
      <c r="BH191" s="62"/>
      <c r="BI191" s="62"/>
      <c r="BJ191" s="62"/>
      <c r="BK191" s="62"/>
      <c r="BL191" s="62"/>
      <c r="BM191" s="62"/>
      <c r="BN191" s="62"/>
      <c r="BO191" s="62"/>
      <c r="BP191" s="62"/>
      <c r="BQ191" s="62"/>
      <c r="BR191" s="62"/>
      <c r="BS191" s="62"/>
      <c r="BT191" s="62"/>
      <c r="BU191" s="62"/>
      <c r="BV191" s="62"/>
      <c r="BW191" s="62"/>
      <c r="BX191" s="62"/>
      <c r="BY191" s="62"/>
      <c r="BZ191" s="62"/>
      <c r="CA191" s="62"/>
      <c r="CB191" s="62"/>
      <c r="CC191" s="62"/>
      <c r="CD191" s="62"/>
      <c r="CE191" s="62"/>
      <c r="CF191" s="62"/>
      <c r="CG191" s="62"/>
    </row>
    <row r="192" spans="1:85" s="4" customFormat="1" ht="64.5" customHeight="1" outlineLevel="1" x14ac:dyDescent="0.25">
      <c r="A192" s="25">
        <f>A191+1</f>
        <v>156</v>
      </c>
      <c r="B192" s="26" t="s">
        <v>256</v>
      </c>
      <c r="C192" s="27" t="s">
        <v>196</v>
      </c>
      <c r="D192" s="28" t="s">
        <v>18</v>
      </c>
      <c r="E192" s="29">
        <f t="shared" si="145"/>
        <v>98.299999999999983</v>
      </c>
      <c r="F192" s="29">
        <v>0</v>
      </c>
      <c r="G192" s="30">
        <f t="shared" si="194"/>
        <v>0</v>
      </c>
      <c r="H192" s="30"/>
      <c r="I192" s="30">
        <f t="shared" si="198"/>
        <v>0</v>
      </c>
      <c r="J192" s="31">
        <v>10.1</v>
      </c>
      <c r="K192" s="30">
        <f t="shared" si="199"/>
        <v>0</v>
      </c>
      <c r="L192" s="30"/>
      <c r="M192" s="30">
        <f t="shared" si="200"/>
        <v>0</v>
      </c>
      <c r="N192" s="29">
        <v>0</v>
      </c>
      <c r="O192" s="30">
        <f t="shared" si="201"/>
        <v>0</v>
      </c>
      <c r="P192" s="30"/>
      <c r="Q192" s="30">
        <f t="shared" si="202"/>
        <v>0</v>
      </c>
      <c r="R192" s="30">
        <v>0</v>
      </c>
      <c r="S192" s="30">
        <f>T192/1.18</f>
        <v>0</v>
      </c>
      <c r="T192" s="30"/>
      <c r="U192" s="30">
        <f t="shared" si="203"/>
        <v>0</v>
      </c>
      <c r="V192" s="29">
        <f>35.2+47.9</f>
        <v>83.1</v>
      </c>
      <c r="W192" s="30">
        <f t="shared" si="195"/>
        <v>0</v>
      </c>
      <c r="X192" s="30"/>
      <c r="Y192" s="30">
        <f t="shared" si="204"/>
        <v>0</v>
      </c>
      <c r="Z192" s="31">
        <v>0</v>
      </c>
      <c r="AA192" s="30">
        <f t="shared" si="196"/>
        <v>0</v>
      </c>
      <c r="AB192" s="58"/>
      <c r="AC192" s="30">
        <f t="shared" si="205"/>
        <v>0</v>
      </c>
      <c r="AD192" s="31">
        <v>5.0999999999999996</v>
      </c>
      <c r="AE192" s="30">
        <f t="shared" si="206"/>
        <v>0</v>
      </c>
      <c r="AF192" s="30"/>
      <c r="AG192" s="30">
        <f t="shared" si="207"/>
        <v>0</v>
      </c>
      <c r="AH192" s="30">
        <f t="shared" si="147"/>
        <v>0</v>
      </c>
      <c r="AI192" s="30">
        <f t="shared" si="164"/>
        <v>0</v>
      </c>
      <c r="AJ192" s="31">
        <v>841</v>
      </c>
      <c r="AK192" s="30" t="s">
        <v>314</v>
      </c>
      <c r="AL192" s="32">
        <v>0</v>
      </c>
      <c r="AM192" s="32">
        <f t="shared" si="197"/>
        <v>0</v>
      </c>
      <c r="AN192" s="32"/>
      <c r="AO192" s="32">
        <f t="shared" si="208"/>
        <v>0</v>
      </c>
      <c r="AP192" s="32">
        <f t="shared" si="209"/>
        <v>0</v>
      </c>
      <c r="AQ192" s="33">
        <f t="shared" si="144"/>
        <v>0</v>
      </c>
      <c r="AR192" s="82">
        <f t="shared" si="144"/>
        <v>0</v>
      </c>
      <c r="AS192" s="9"/>
      <c r="AT192" s="9"/>
      <c r="AU192" s="9"/>
      <c r="AV192" s="9"/>
      <c r="AW192" s="65"/>
      <c r="AX192" s="65"/>
      <c r="AY192" s="62"/>
      <c r="AZ192" s="62"/>
      <c r="BA192" s="62"/>
      <c r="BB192" s="62"/>
      <c r="BC192" s="62"/>
      <c r="BD192" s="62"/>
      <c r="BE192" s="62"/>
      <c r="BF192" s="62"/>
      <c r="BG192" s="62"/>
      <c r="BH192" s="62"/>
      <c r="BI192" s="62"/>
      <c r="BJ192" s="62"/>
      <c r="BK192" s="62"/>
      <c r="BL192" s="62"/>
      <c r="BM192" s="62"/>
      <c r="BN192" s="62"/>
      <c r="BO192" s="62"/>
      <c r="BP192" s="62"/>
      <c r="BQ192" s="62"/>
      <c r="BR192" s="62"/>
      <c r="BS192" s="62"/>
      <c r="BT192" s="62"/>
      <c r="BU192" s="62"/>
      <c r="BV192" s="62"/>
      <c r="BW192" s="62"/>
      <c r="BX192" s="62"/>
      <c r="BY192" s="62"/>
      <c r="BZ192" s="62"/>
      <c r="CA192" s="62"/>
      <c r="CB192" s="62"/>
      <c r="CC192" s="62"/>
      <c r="CD192" s="62"/>
      <c r="CE192" s="62"/>
      <c r="CF192" s="62"/>
      <c r="CG192" s="62"/>
    </row>
    <row r="193" spans="1:85" s="4" customFormat="1" ht="64.5" customHeight="1" outlineLevel="1" x14ac:dyDescent="0.25">
      <c r="A193" s="25">
        <f t="shared" ref="A193:A196" si="210">A192+1</f>
        <v>157</v>
      </c>
      <c r="B193" s="26" t="s">
        <v>256</v>
      </c>
      <c r="C193" s="27" t="s">
        <v>197</v>
      </c>
      <c r="D193" s="28" t="s">
        <v>18</v>
      </c>
      <c r="E193" s="29">
        <f t="shared" si="145"/>
        <v>390.70000000000005</v>
      </c>
      <c r="F193" s="29">
        <v>0</v>
      </c>
      <c r="G193" s="30">
        <f t="shared" si="194"/>
        <v>0</v>
      </c>
      <c r="H193" s="30"/>
      <c r="I193" s="30">
        <f t="shared" si="198"/>
        <v>0</v>
      </c>
      <c r="J193" s="31">
        <f>108.9+34.9</f>
        <v>143.80000000000001</v>
      </c>
      <c r="K193" s="30">
        <f t="shared" si="199"/>
        <v>0</v>
      </c>
      <c r="L193" s="30"/>
      <c r="M193" s="30">
        <f t="shared" si="200"/>
        <v>0</v>
      </c>
      <c r="N193" s="29">
        <v>0</v>
      </c>
      <c r="O193" s="30">
        <f t="shared" si="201"/>
        <v>0</v>
      </c>
      <c r="P193" s="30"/>
      <c r="Q193" s="30">
        <f t="shared" si="202"/>
        <v>0</v>
      </c>
      <c r="R193" s="30">
        <v>238.9</v>
      </c>
      <c r="S193" s="30">
        <f>T193/1.18</f>
        <v>0</v>
      </c>
      <c r="T193" s="30"/>
      <c r="U193" s="30">
        <f t="shared" si="203"/>
        <v>0</v>
      </c>
      <c r="V193" s="29">
        <v>4</v>
      </c>
      <c r="W193" s="30">
        <f t="shared" si="195"/>
        <v>0</v>
      </c>
      <c r="X193" s="30"/>
      <c r="Y193" s="30">
        <f t="shared" si="204"/>
        <v>0</v>
      </c>
      <c r="Z193" s="31">
        <v>0</v>
      </c>
      <c r="AA193" s="30">
        <f t="shared" si="196"/>
        <v>0</v>
      </c>
      <c r="AB193" s="58"/>
      <c r="AC193" s="30">
        <f t="shared" si="205"/>
        <v>0</v>
      </c>
      <c r="AD193" s="31">
        <v>4</v>
      </c>
      <c r="AE193" s="30">
        <f t="shared" si="206"/>
        <v>0</v>
      </c>
      <c r="AF193" s="30"/>
      <c r="AG193" s="30">
        <f t="shared" si="207"/>
        <v>0</v>
      </c>
      <c r="AH193" s="30">
        <f t="shared" si="147"/>
        <v>0</v>
      </c>
      <c r="AI193" s="30">
        <f t="shared" si="164"/>
        <v>0</v>
      </c>
      <c r="AJ193" s="31">
        <v>0</v>
      </c>
      <c r="AK193" s="30" t="s">
        <v>314</v>
      </c>
      <c r="AL193" s="32">
        <v>0</v>
      </c>
      <c r="AM193" s="32">
        <f t="shared" si="197"/>
        <v>0</v>
      </c>
      <c r="AN193" s="32"/>
      <c r="AO193" s="32">
        <f t="shared" si="208"/>
        <v>0</v>
      </c>
      <c r="AP193" s="32">
        <f t="shared" si="209"/>
        <v>0</v>
      </c>
      <c r="AQ193" s="33">
        <f t="shared" si="144"/>
        <v>0</v>
      </c>
      <c r="AR193" s="82">
        <f t="shared" si="144"/>
        <v>0</v>
      </c>
      <c r="AS193" s="9"/>
      <c r="AT193" s="9"/>
      <c r="AU193" s="9"/>
      <c r="AV193" s="9"/>
      <c r="AW193" s="65"/>
      <c r="AX193" s="65"/>
      <c r="AY193" s="62"/>
      <c r="AZ193" s="62"/>
      <c r="BA193" s="62"/>
      <c r="BB193" s="62"/>
      <c r="BC193" s="62"/>
      <c r="BD193" s="62"/>
      <c r="BE193" s="62"/>
      <c r="BF193" s="62"/>
      <c r="BG193" s="62"/>
      <c r="BH193" s="62"/>
      <c r="BI193" s="62"/>
      <c r="BJ193" s="62"/>
      <c r="BK193" s="62"/>
      <c r="BL193" s="62"/>
      <c r="BM193" s="62"/>
      <c r="BN193" s="62"/>
      <c r="BO193" s="62"/>
      <c r="BP193" s="62"/>
      <c r="BQ193" s="62"/>
      <c r="BR193" s="62"/>
      <c r="BS193" s="62"/>
      <c r="BT193" s="62"/>
      <c r="BU193" s="62"/>
      <c r="BV193" s="62"/>
      <c r="BW193" s="62"/>
      <c r="BX193" s="62"/>
      <c r="BY193" s="62"/>
      <c r="BZ193" s="62"/>
      <c r="CA193" s="62"/>
      <c r="CB193" s="62"/>
      <c r="CC193" s="62"/>
      <c r="CD193" s="62"/>
      <c r="CE193" s="62"/>
      <c r="CF193" s="62"/>
      <c r="CG193" s="62"/>
    </row>
    <row r="194" spans="1:85" s="4" customFormat="1" ht="64.5" customHeight="1" outlineLevel="1" x14ac:dyDescent="0.25">
      <c r="A194" s="25">
        <f t="shared" si="210"/>
        <v>158</v>
      </c>
      <c r="B194" s="26" t="s">
        <v>256</v>
      </c>
      <c r="C194" s="27" t="s">
        <v>198</v>
      </c>
      <c r="D194" s="28" t="s">
        <v>18</v>
      </c>
      <c r="E194" s="29">
        <f t="shared" si="145"/>
        <v>734.30000000000007</v>
      </c>
      <c r="F194" s="29">
        <v>0</v>
      </c>
      <c r="G194" s="30">
        <f t="shared" si="194"/>
        <v>0</v>
      </c>
      <c r="H194" s="30"/>
      <c r="I194" s="30">
        <f t="shared" si="198"/>
        <v>0</v>
      </c>
      <c r="J194" s="31">
        <f>173+74.9+90.7+22</f>
        <v>360.6</v>
      </c>
      <c r="K194" s="30">
        <f t="shared" si="199"/>
        <v>0</v>
      </c>
      <c r="L194" s="30"/>
      <c r="M194" s="30">
        <f t="shared" si="200"/>
        <v>0</v>
      </c>
      <c r="N194" s="29">
        <v>0</v>
      </c>
      <c r="O194" s="30">
        <f t="shared" si="201"/>
        <v>0</v>
      </c>
      <c r="P194" s="30"/>
      <c r="Q194" s="30">
        <f t="shared" si="202"/>
        <v>0</v>
      </c>
      <c r="R194" s="30">
        <v>0</v>
      </c>
      <c r="S194" s="30">
        <v>4.2</v>
      </c>
      <c r="T194" s="30"/>
      <c r="U194" s="30">
        <f t="shared" si="203"/>
        <v>0</v>
      </c>
      <c r="V194" s="29">
        <f>126+103+81.5+48.8</f>
        <v>359.3</v>
      </c>
      <c r="W194" s="30">
        <f t="shared" si="195"/>
        <v>0</v>
      </c>
      <c r="X194" s="30"/>
      <c r="Y194" s="30">
        <f t="shared" si="204"/>
        <v>0</v>
      </c>
      <c r="Z194" s="31">
        <v>0</v>
      </c>
      <c r="AA194" s="30">
        <f t="shared" si="196"/>
        <v>0</v>
      </c>
      <c r="AB194" s="58"/>
      <c r="AC194" s="30">
        <f t="shared" si="205"/>
        <v>0</v>
      </c>
      <c r="AD194" s="31">
        <v>14.4</v>
      </c>
      <c r="AE194" s="30">
        <f t="shared" si="206"/>
        <v>0</v>
      </c>
      <c r="AF194" s="30"/>
      <c r="AG194" s="30">
        <f t="shared" si="207"/>
        <v>0</v>
      </c>
      <c r="AH194" s="30">
        <f t="shared" si="147"/>
        <v>0</v>
      </c>
      <c r="AI194" s="30">
        <f t="shared" si="164"/>
        <v>0</v>
      </c>
      <c r="AJ194" s="31">
        <v>250</v>
      </c>
      <c r="AK194" s="30" t="s">
        <v>314</v>
      </c>
      <c r="AL194" s="32">
        <v>0</v>
      </c>
      <c r="AM194" s="32">
        <f t="shared" si="197"/>
        <v>0</v>
      </c>
      <c r="AN194" s="32"/>
      <c r="AO194" s="32">
        <f t="shared" si="208"/>
        <v>0</v>
      </c>
      <c r="AP194" s="32">
        <f t="shared" si="209"/>
        <v>0</v>
      </c>
      <c r="AQ194" s="33">
        <f t="shared" si="144"/>
        <v>0</v>
      </c>
      <c r="AR194" s="82">
        <f t="shared" si="144"/>
        <v>0</v>
      </c>
      <c r="AS194" s="9"/>
      <c r="AT194" s="9"/>
      <c r="AU194" s="9"/>
      <c r="AV194" s="9"/>
      <c r="AW194" s="65"/>
      <c r="AX194" s="65"/>
      <c r="AY194" s="62"/>
      <c r="AZ194" s="62"/>
      <c r="BA194" s="62"/>
      <c r="BB194" s="62"/>
      <c r="BC194" s="62"/>
      <c r="BD194" s="62"/>
      <c r="BE194" s="62"/>
      <c r="BF194" s="62"/>
      <c r="BG194" s="62"/>
      <c r="BH194" s="62"/>
      <c r="BI194" s="62"/>
      <c r="BJ194" s="62"/>
      <c r="BK194" s="62"/>
      <c r="BL194" s="62"/>
      <c r="BM194" s="62"/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X194" s="62"/>
      <c r="BY194" s="62"/>
      <c r="BZ194" s="62"/>
      <c r="CA194" s="62"/>
      <c r="CB194" s="62"/>
      <c r="CC194" s="62"/>
      <c r="CD194" s="62"/>
      <c r="CE194" s="62"/>
      <c r="CF194" s="62"/>
      <c r="CG194" s="62"/>
    </row>
    <row r="195" spans="1:85" s="4" customFormat="1" ht="64.5" customHeight="1" outlineLevel="1" x14ac:dyDescent="0.25">
      <c r="A195" s="25">
        <f t="shared" si="210"/>
        <v>159</v>
      </c>
      <c r="B195" s="26" t="s">
        <v>256</v>
      </c>
      <c r="C195" s="27" t="s">
        <v>199</v>
      </c>
      <c r="D195" s="28" t="s">
        <v>18</v>
      </c>
      <c r="E195" s="29">
        <f t="shared" si="145"/>
        <v>192.9</v>
      </c>
      <c r="F195" s="29">
        <v>0</v>
      </c>
      <c r="G195" s="30">
        <f t="shared" si="194"/>
        <v>0</v>
      </c>
      <c r="H195" s="30"/>
      <c r="I195" s="30">
        <f t="shared" si="198"/>
        <v>0</v>
      </c>
      <c r="J195" s="31">
        <f>38.4+18+16.9</f>
        <v>73.3</v>
      </c>
      <c r="K195" s="30">
        <f t="shared" si="199"/>
        <v>0</v>
      </c>
      <c r="L195" s="30"/>
      <c r="M195" s="30">
        <f t="shared" si="200"/>
        <v>0</v>
      </c>
      <c r="N195" s="29">
        <v>0</v>
      </c>
      <c r="O195" s="30">
        <f t="shared" si="201"/>
        <v>0</v>
      </c>
      <c r="P195" s="30"/>
      <c r="Q195" s="30">
        <f t="shared" si="202"/>
        <v>0</v>
      </c>
      <c r="R195" s="30">
        <v>0</v>
      </c>
      <c r="S195" s="30">
        <f>T195/1.18</f>
        <v>0</v>
      </c>
      <c r="T195" s="30"/>
      <c r="U195" s="30">
        <f t="shared" si="203"/>
        <v>0</v>
      </c>
      <c r="V195" s="29">
        <f>5.6+11.8+91.1+7.8</f>
        <v>116.3</v>
      </c>
      <c r="W195" s="30">
        <f t="shared" si="195"/>
        <v>0</v>
      </c>
      <c r="X195" s="30"/>
      <c r="Y195" s="30">
        <f t="shared" si="204"/>
        <v>0</v>
      </c>
      <c r="Z195" s="31">
        <v>0</v>
      </c>
      <c r="AA195" s="30">
        <f t="shared" si="196"/>
        <v>0</v>
      </c>
      <c r="AB195" s="58"/>
      <c r="AC195" s="30">
        <f t="shared" si="205"/>
        <v>0</v>
      </c>
      <c r="AD195" s="31">
        <v>3.3</v>
      </c>
      <c r="AE195" s="30">
        <f t="shared" si="206"/>
        <v>0</v>
      </c>
      <c r="AF195" s="30"/>
      <c r="AG195" s="30">
        <f t="shared" si="207"/>
        <v>0</v>
      </c>
      <c r="AH195" s="30">
        <f t="shared" si="147"/>
        <v>0</v>
      </c>
      <c r="AI195" s="30">
        <f t="shared" si="164"/>
        <v>0</v>
      </c>
      <c r="AJ195" s="31">
        <v>510</v>
      </c>
      <c r="AK195" s="30" t="s">
        <v>314</v>
      </c>
      <c r="AL195" s="32">
        <v>0</v>
      </c>
      <c r="AM195" s="32">
        <f t="shared" si="197"/>
        <v>0</v>
      </c>
      <c r="AN195" s="32"/>
      <c r="AO195" s="32">
        <f t="shared" si="208"/>
        <v>0</v>
      </c>
      <c r="AP195" s="32">
        <f t="shared" si="209"/>
        <v>0</v>
      </c>
      <c r="AQ195" s="33">
        <f t="shared" si="144"/>
        <v>0</v>
      </c>
      <c r="AR195" s="82">
        <f t="shared" si="144"/>
        <v>0</v>
      </c>
      <c r="AS195" s="9"/>
      <c r="AT195" s="9"/>
      <c r="AU195" s="9"/>
      <c r="AV195" s="9"/>
      <c r="AW195" s="65"/>
      <c r="AX195" s="65"/>
      <c r="AY195" s="62"/>
      <c r="AZ195" s="62"/>
      <c r="BA195" s="62"/>
      <c r="BB195" s="62"/>
      <c r="BC195" s="62"/>
      <c r="BD195" s="62"/>
      <c r="BE195" s="62"/>
      <c r="BF195" s="62"/>
      <c r="BG195" s="62"/>
      <c r="BH195" s="62"/>
      <c r="BI195" s="62"/>
      <c r="BJ195" s="62"/>
      <c r="BK195" s="62"/>
      <c r="BL195" s="62"/>
      <c r="BM195" s="62"/>
      <c r="BN195" s="62"/>
      <c r="BO195" s="62"/>
      <c r="BP195" s="62"/>
      <c r="BQ195" s="62"/>
      <c r="BR195" s="62"/>
      <c r="BS195" s="62"/>
      <c r="BT195" s="62"/>
      <c r="BU195" s="62"/>
      <c r="BV195" s="62"/>
      <c r="BW195" s="62"/>
      <c r="BX195" s="62"/>
      <c r="BY195" s="62"/>
      <c r="BZ195" s="62"/>
      <c r="CA195" s="62"/>
      <c r="CB195" s="62"/>
      <c r="CC195" s="62"/>
      <c r="CD195" s="62"/>
      <c r="CE195" s="62"/>
      <c r="CF195" s="62"/>
      <c r="CG195" s="62"/>
    </row>
    <row r="196" spans="1:85" s="4" customFormat="1" ht="64.5" customHeight="1" outlineLevel="1" x14ac:dyDescent="0.25">
      <c r="A196" s="25">
        <f t="shared" si="210"/>
        <v>160</v>
      </c>
      <c r="B196" s="26" t="s">
        <v>256</v>
      </c>
      <c r="C196" s="27" t="s">
        <v>200</v>
      </c>
      <c r="D196" s="28" t="s">
        <v>18</v>
      </c>
      <c r="E196" s="29">
        <f t="shared" si="145"/>
        <v>69.5</v>
      </c>
      <c r="F196" s="29">
        <v>0</v>
      </c>
      <c r="G196" s="30">
        <f t="shared" si="194"/>
        <v>0</v>
      </c>
      <c r="H196" s="30"/>
      <c r="I196" s="30">
        <f t="shared" si="198"/>
        <v>0</v>
      </c>
      <c r="J196" s="31">
        <f>47.5+22</f>
        <v>69.5</v>
      </c>
      <c r="K196" s="30">
        <f t="shared" si="199"/>
        <v>0</v>
      </c>
      <c r="L196" s="30"/>
      <c r="M196" s="30">
        <f t="shared" si="200"/>
        <v>0</v>
      </c>
      <c r="N196" s="29">
        <v>0</v>
      </c>
      <c r="O196" s="30">
        <f t="shared" si="201"/>
        <v>0</v>
      </c>
      <c r="P196" s="30"/>
      <c r="Q196" s="30">
        <f t="shared" si="202"/>
        <v>0</v>
      </c>
      <c r="R196" s="30">
        <v>0</v>
      </c>
      <c r="S196" s="30">
        <f>T196/1.18</f>
        <v>0</v>
      </c>
      <c r="T196" s="30"/>
      <c r="U196" s="30">
        <f t="shared" si="203"/>
        <v>0</v>
      </c>
      <c r="V196" s="29">
        <v>0</v>
      </c>
      <c r="W196" s="30">
        <f t="shared" si="195"/>
        <v>0</v>
      </c>
      <c r="X196" s="30"/>
      <c r="Y196" s="30">
        <f t="shared" si="204"/>
        <v>0</v>
      </c>
      <c r="Z196" s="31">
        <v>0</v>
      </c>
      <c r="AA196" s="30">
        <f t="shared" si="196"/>
        <v>0</v>
      </c>
      <c r="AB196" s="58"/>
      <c r="AC196" s="30">
        <f t="shared" si="205"/>
        <v>0</v>
      </c>
      <c r="AD196" s="31">
        <v>0</v>
      </c>
      <c r="AE196" s="30">
        <f t="shared" si="206"/>
        <v>0</v>
      </c>
      <c r="AF196" s="30"/>
      <c r="AG196" s="30">
        <f t="shared" si="207"/>
        <v>0</v>
      </c>
      <c r="AH196" s="30">
        <f t="shared" si="147"/>
        <v>0</v>
      </c>
      <c r="AI196" s="30">
        <f t="shared" si="164"/>
        <v>0</v>
      </c>
      <c r="AJ196" s="31">
        <v>0</v>
      </c>
      <c r="AK196" s="30" t="s">
        <v>314</v>
      </c>
      <c r="AL196" s="32">
        <v>0</v>
      </c>
      <c r="AM196" s="32">
        <f t="shared" si="197"/>
        <v>0</v>
      </c>
      <c r="AN196" s="32"/>
      <c r="AO196" s="32">
        <f t="shared" si="208"/>
        <v>0</v>
      </c>
      <c r="AP196" s="32">
        <f t="shared" si="209"/>
        <v>0</v>
      </c>
      <c r="AQ196" s="33">
        <f t="shared" si="144"/>
        <v>0</v>
      </c>
      <c r="AR196" s="82">
        <f t="shared" si="144"/>
        <v>0</v>
      </c>
      <c r="AS196" s="9"/>
      <c r="AT196" s="9"/>
      <c r="AU196" s="9"/>
      <c r="AV196" s="9"/>
      <c r="AW196" s="65"/>
      <c r="AX196" s="65"/>
      <c r="AY196" s="62"/>
      <c r="AZ196" s="62"/>
      <c r="BA196" s="62"/>
      <c r="BB196" s="62"/>
      <c r="BC196" s="62"/>
      <c r="BD196" s="62"/>
      <c r="BE196" s="62"/>
      <c r="BF196" s="62"/>
      <c r="BG196" s="62"/>
      <c r="BH196" s="62"/>
      <c r="BI196" s="62"/>
      <c r="BJ196" s="62"/>
      <c r="BK196" s="62"/>
      <c r="BL196" s="62"/>
      <c r="BM196" s="62"/>
      <c r="BN196" s="62"/>
      <c r="BO196" s="62"/>
      <c r="BP196" s="62"/>
      <c r="BQ196" s="62"/>
      <c r="BR196" s="62"/>
      <c r="BS196" s="62"/>
      <c r="BT196" s="62"/>
      <c r="BU196" s="62"/>
      <c r="BV196" s="62"/>
      <c r="BW196" s="62"/>
      <c r="BX196" s="62"/>
      <c r="BY196" s="62"/>
      <c r="BZ196" s="62"/>
      <c r="CA196" s="62"/>
      <c r="CB196" s="62"/>
      <c r="CC196" s="62"/>
      <c r="CD196" s="62"/>
      <c r="CE196" s="62"/>
      <c r="CF196" s="62"/>
      <c r="CG196" s="62"/>
    </row>
    <row r="197" spans="1:85" s="5" customFormat="1" ht="64.5" customHeight="1" outlineLevel="1" x14ac:dyDescent="0.25">
      <c r="A197" s="145" t="s">
        <v>242</v>
      </c>
      <c r="B197" s="146"/>
      <c r="C197" s="146"/>
      <c r="D197" s="106"/>
      <c r="E197" s="29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30"/>
      <c r="Y197" s="106"/>
      <c r="Z197" s="106"/>
      <c r="AA197" s="106"/>
      <c r="AB197" s="106"/>
      <c r="AC197" s="106"/>
      <c r="AD197" s="106"/>
      <c r="AE197" s="106"/>
      <c r="AF197" s="106"/>
      <c r="AG197" s="106"/>
      <c r="AH197" s="30"/>
      <c r="AI197" s="30"/>
      <c r="AJ197" s="106"/>
      <c r="AK197" s="30"/>
      <c r="AL197" s="106"/>
      <c r="AM197" s="106"/>
      <c r="AN197" s="106"/>
      <c r="AO197" s="106"/>
      <c r="AP197" s="106"/>
      <c r="AQ197" s="33"/>
      <c r="AR197" s="82"/>
      <c r="AS197" s="9"/>
      <c r="AT197" s="9"/>
      <c r="AU197" s="9"/>
      <c r="AV197" s="9"/>
      <c r="AW197" s="9"/>
      <c r="AX197" s="9"/>
    </row>
    <row r="198" spans="1:85" s="4" customFormat="1" ht="64.5" customHeight="1" outlineLevel="1" x14ac:dyDescent="0.25">
      <c r="A198" s="25">
        <f>A196+1</f>
        <v>161</v>
      </c>
      <c r="B198" s="26" t="s">
        <v>256</v>
      </c>
      <c r="C198" s="27" t="s">
        <v>203</v>
      </c>
      <c r="D198" s="28" t="s">
        <v>18</v>
      </c>
      <c r="E198" s="29">
        <f t="shared" si="145"/>
        <v>626.59999999999991</v>
      </c>
      <c r="F198" s="29">
        <v>223.7</v>
      </c>
      <c r="G198" s="30">
        <f t="shared" si="194"/>
        <v>0</v>
      </c>
      <c r="H198" s="30"/>
      <c r="I198" s="30">
        <f>H198*F198</f>
        <v>0</v>
      </c>
      <c r="J198" s="31">
        <f>232.7-29.3</f>
        <v>203.39999999999998</v>
      </c>
      <c r="K198" s="30">
        <f>L198/1.18</f>
        <v>0</v>
      </c>
      <c r="L198" s="30"/>
      <c r="M198" s="30">
        <f>L198*J198</f>
        <v>0</v>
      </c>
      <c r="N198" s="29">
        <v>0</v>
      </c>
      <c r="O198" s="30">
        <f>P198/1.18</f>
        <v>0</v>
      </c>
      <c r="P198" s="30"/>
      <c r="Q198" s="30">
        <f>P198*N198</f>
        <v>0</v>
      </c>
      <c r="R198" s="30">
        <v>0</v>
      </c>
      <c r="S198" s="30">
        <f t="shared" ref="S198" si="211">T198/1.18</f>
        <v>0</v>
      </c>
      <c r="T198" s="30"/>
      <c r="U198" s="30">
        <f>T198*R198</f>
        <v>0</v>
      </c>
      <c r="V198" s="29">
        <f>167.7+29.3</f>
        <v>197</v>
      </c>
      <c r="W198" s="30">
        <f t="shared" si="195"/>
        <v>0</v>
      </c>
      <c r="X198" s="30"/>
      <c r="Y198" s="30">
        <f>X198*V198</f>
        <v>0</v>
      </c>
      <c r="Z198" s="31">
        <v>0</v>
      </c>
      <c r="AA198" s="30">
        <f t="shared" si="196"/>
        <v>0</v>
      </c>
      <c r="AB198" s="58"/>
      <c r="AC198" s="30">
        <f>AB198*Z198</f>
        <v>0</v>
      </c>
      <c r="AD198" s="31">
        <v>2.5</v>
      </c>
      <c r="AE198" s="30">
        <f>AF198/1.18</f>
        <v>0</v>
      </c>
      <c r="AF198" s="30"/>
      <c r="AG198" s="30">
        <f>AF198*AD198</f>
        <v>0</v>
      </c>
      <c r="AH198" s="30">
        <f t="shared" si="147"/>
        <v>0</v>
      </c>
      <c r="AI198" s="30">
        <f t="shared" si="164"/>
        <v>0</v>
      </c>
      <c r="AJ198" s="31">
        <v>100</v>
      </c>
      <c r="AK198" s="30" t="s">
        <v>314</v>
      </c>
      <c r="AL198" s="32">
        <v>0</v>
      </c>
      <c r="AM198" s="32">
        <f t="shared" si="197"/>
        <v>0</v>
      </c>
      <c r="AN198" s="32"/>
      <c r="AO198" s="32">
        <f>AM198*AJ198</f>
        <v>0</v>
      </c>
      <c r="AP198" s="32">
        <f>AN198*AJ198</f>
        <v>0</v>
      </c>
      <c r="AQ198" s="33">
        <f t="shared" si="144"/>
        <v>0</v>
      </c>
      <c r="AR198" s="82">
        <f t="shared" si="144"/>
        <v>0</v>
      </c>
      <c r="AS198" s="9"/>
      <c r="AT198" s="9"/>
      <c r="AU198" s="9"/>
      <c r="AV198" s="9"/>
      <c r="AW198" s="65"/>
      <c r="AX198" s="65"/>
      <c r="AY198" s="62"/>
      <c r="AZ198" s="62"/>
      <c r="BA198" s="62"/>
      <c r="BB198" s="62"/>
      <c r="BC198" s="62"/>
      <c r="BD198" s="62"/>
      <c r="BE198" s="62"/>
      <c r="BF198" s="62"/>
      <c r="BG198" s="62"/>
      <c r="BH198" s="62"/>
      <c r="BI198" s="62"/>
      <c r="BJ198" s="62"/>
      <c r="BK198" s="62"/>
      <c r="BL198" s="62"/>
      <c r="BM198" s="62"/>
      <c r="BN198" s="62"/>
      <c r="BO198" s="62"/>
      <c r="BP198" s="62"/>
      <c r="BQ198" s="62"/>
      <c r="BR198" s="62"/>
      <c r="BS198" s="62"/>
      <c r="BT198" s="62"/>
      <c r="BU198" s="62"/>
      <c r="BV198" s="62"/>
      <c r="BW198" s="62"/>
      <c r="BX198" s="62"/>
      <c r="BY198" s="62"/>
      <c r="BZ198" s="62"/>
      <c r="CA198" s="62"/>
      <c r="CB198" s="62"/>
      <c r="CC198" s="62"/>
      <c r="CD198" s="62"/>
      <c r="CE198" s="62"/>
      <c r="CF198" s="62"/>
      <c r="CG198" s="62"/>
    </row>
    <row r="199" spans="1:85" s="4" customFormat="1" ht="64.5" customHeight="1" outlineLevel="1" x14ac:dyDescent="0.25">
      <c r="A199" s="25">
        <f>A198+1</f>
        <v>162</v>
      </c>
      <c r="B199" s="26" t="s">
        <v>256</v>
      </c>
      <c r="C199" s="27" t="s">
        <v>204</v>
      </c>
      <c r="D199" s="28" t="s">
        <v>18</v>
      </c>
      <c r="E199" s="29">
        <f t="shared" si="145"/>
        <v>855.19999999999993</v>
      </c>
      <c r="F199" s="29">
        <f>58.8+150.7</f>
        <v>209.5</v>
      </c>
      <c r="G199" s="30">
        <f t="shared" si="194"/>
        <v>0</v>
      </c>
      <c r="H199" s="30"/>
      <c r="I199" s="30">
        <f>H199*F199</f>
        <v>0</v>
      </c>
      <c r="J199" s="31">
        <f>61.6+381.9+30.3+62.6</f>
        <v>536.4</v>
      </c>
      <c r="K199" s="30">
        <f>L199/1.18</f>
        <v>0</v>
      </c>
      <c r="L199" s="30"/>
      <c r="M199" s="30">
        <f>L199*J199</f>
        <v>0</v>
      </c>
      <c r="N199" s="29">
        <v>0</v>
      </c>
      <c r="O199" s="30">
        <f>P199/1.18</f>
        <v>0</v>
      </c>
      <c r="P199" s="30"/>
      <c r="Q199" s="30">
        <f>P199*N199</f>
        <v>0</v>
      </c>
      <c r="R199" s="30">
        <v>0</v>
      </c>
      <c r="S199" s="30">
        <f>T199/1.18</f>
        <v>0</v>
      </c>
      <c r="T199" s="30"/>
      <c r="U199" s="30">
        <f>T199*R199</f>
        <v>0</v>
      </c>
      <c r="V199" s="29">
        <f>3.8+15.9+34.3+15.9+24</f>
        <v>93.9</v>
      </c>
      <c r="W199" s="30">
        <f t="shared" si="195"/>
        <v>0</v>
      </c>
      <c r="X199" s="30"/>
      <c r="Y199" s="30">
        <f>X199*V199</f>
        <v>0</v>
      </c>
      <c r="Z199" s="31">
        <v>0</v>
      </c>
      <c r="AA199" s="30">
        <f t="shared" si="196"/>
        <v>0</v>
      </c>
      <c r="AB199" s="58"/>
      <c r="AC199" s="30">
        <f>AB199*Z199</f>
        <v>0</v>
      </c>
      <c r="AD199" s="31">
        <v>15.4</v>
      </c>
      <c r="AE199" s="30">
        <f>AF199/1.18</f>
        <v>0</v>
      </c>
      <c r="AF199" s="30"/>
      <c r="AG199" s="30">
        <f>AF199*AD199</f>
        <v>0</v>
      </c>
      <c r="AH199" s="30">
        <f t="shared" si="147"/>
        <v>0</v>
      </c>
      <c r="AI199" s="30">
        <f t="shared" si="164"/>
        <v>0</v>
      </c>
      <c r="AJ199" s="31">
        <v>450</v>
      </c>
      <c r="AK199" s="30" t="s">
        <v>314</v>
      </c>
      <c r="AL199" s="32">
        <v>0</v>
      </c>
      <c r="AM199" s="32">
        <f t="shared" si="197"/>
        <v>0</v>
      </c>
      <c r="AN199" s="32"/>
      <c r="AO199" s="32">
        <f>AM199*AJ199</f>
        <v>0</v>
      </c>
      <c r="AP199" s="32">
        <f>AN199*AJ199</f>
        <v>0</v>
      </c>
      <c r="AQ199" s="33">
        <f t="shared" si="144"/>
        <v>0</v>
      </c>
      <c r="AR199" s="82">
        <f t="shared" si="144"/>
        <v>0</v>
      </c>
      <c r="AS199" s="9"/>
      <c r="AT199" s="9"/>
      <c r="AU199" s="9"/>
      <c r="AV199" s="9"/>
      <c r="AW199" s="65"/>
      <c r="AX199" s="65"/>
      <c r="AY199" s="62"/>
      <c r="AZ199" s="62"/>
      <c r="BA199" s="62"/>
      <c r="BB199" s="62"/>
      <c r="BC199" s="62"/>
      <c r="BD199" s="62"/>
      <c r="BE199" s="62"/>
      <c r="BF199" s="62"/>
      <c r="BG199" s="62"/>
      <c r="BH199" s="62"/>
      <c r="BI199" s="62"/>
      <c r="BJ199" s="62"/>
      <c r="BK199" s="62"/>
      <c r="BL199" s="62"/>
      <c r="BM199" s="62"/>
      <c r="BN199" s="62"/>
      <c r="BO199" s="62"/>
      <c r="BP199" s="62"/>
      <c r="BQ199" s="62"/>
      <c r="BR199" s="62"/>
      <c r="BS199" s="62"/>
      <c r="BT199" s="62"/>
      <c r="BU199" s="62"/>
      <c r="BV199" s="62"/>
      <c r="BW199" s="62"/>
      <c r="BX199" s="62"/>
      <c r="BY199" s="62"/>
      <c r="BZ199" s="62"/>
      <c r="CA199" s="62"/>
      <c r="CB199" s="62"/>
      <c r="CC199" s="62"/>
      <c r="CD199" s="62"/>
      <c r="CE199" s="62"/>
      <c r="CF199" s="62"/>
      <c r="CG199" s="62"/>
    </row>
    <row r="200" spans="1:85" s="4" customFormat="1" ht="64.5" customHeight="1" outlineLevel="1" x14ac:dyDescent="0.25">
      <c r="A200" s="25">
        <f>A199+1</f>
        <v>163</v>
      </c>
      <c r="B200" s="26" t="s">
        <v>256</v>
      </c>
      <c r="C200" s="27" t="s">
        <v>205</v>
      </c>
      <c r="D200" s="28" t="s">
        <v>18</v>
      </c>
      <c r="E200" s="29">
        <f t="shared" si="145"/>
        <v>853.90000000000009</v>
      </c>
      <c r="F200" s="29">
        <f>33.3+82.2</f>
        <v>115.5</v>
      </c>
      <c r="G200" s="30">
        <f t="shared" si="194"/>
        <v>0</v>
      </c>
      <c r="H200" s="30"/>
      <c r="I200" s="30">
        <f>H200*F200</f>
        <v>0</v>
      </c>
      <c r="J200" s="31">
        <v>262.8</v>
      </c>
      <c r="K200" s="30">
        <f>L200/1.18</f>
        <v>0</v>
      </c>
      <c r="L200" s="30"/>
      <c r="M200" s="30">
        <f>L200*J200</f>
        <v>0</v>
      </c>
      <c r="N200" s="29">
        <v>0</v>
      </c>
      <c r="O200" s="30">
        <f>P200/1.18</f>
        <v>0</v>
      </c>
      <c r="P200" s="30"/>
      <c r="Q200" s="30">
        <f>P200*N200</f>
        <v>0</v>
      </c>
      <c r="R200" s="30">
        <v>90</v>
      </c>
      <c r="S200" s="30">
        <f>T200/1.18</f>
        <v>0</v>
      </c>
      <c r="T200" s="30"/>
      <c r="U200" s="30">
        <f>T200*R200</f>
        <v>0</v>
      </c>
      <c r="V200" s="29">
        <v>351.6</v>
      </c>
      <c r="W200" s="30">
        <f t="shared" si="195"/>
        <v>0</v>
      </c>
      <c r="X200" s="30"/>
      <c r="Y200" s="30">
        <f>X200*V200</f>
        <v>0</v>
      </c>
      <c r="Z200" s="31">
        <v>14.9</v>
      </c>
      <c r="AA200" s="30">
        <f t="shared" si="196"/>
        <v>0</v>
      </c>
      <c r="AB200" s="58"/>
      <c r="AC200" s="30">
        <f>AB200*Z200</f>
        <v>0</v>
      </c>
      <c r="AD200" s="31">
        <v>19.100000000000001</v>
      </c>
      <c r="AE200" s="30">
        <f>AF200/1.18</f>
        <v>0</v>
      </c>
      <c r="AF200" s="30"/>
      <c r="AG200" s="30">
        <f>AF200*AD200</f>
        <v>0</v>
      </c>
      <c r="AH200" s="30">
        <f t="shared" si="147"/>
        <v>0</v>
      </c>
      <c r="AI200" s="30">
        <f t="shared" si="164"/>
        <v>0</v>
      </c>
      <c r="AJ200" s="31">
        <v>200</v>
      </c>
      <c r="AK200" s="30" t="s">
        <v>314</v>
      </c>
      <c r="AL200" s="32">
        <v>0</v>
      </c>
      <c r="AM200" s="32">
        <f t="shared" si="197"/>
        <v>0</v>
      </c>
      <c r="AN200" s="32"/>
      <c r="AO200" s="32">
        <f>AM200*AJ200</f>
        <v>0</v>
      </c>
      <c r="AP200" s="32">
        <f>AN200*AJ200</f>
        <v>0</v>
      </c>
      <c r="AQ200" s="33">
        <f t="shared" si="144"/>
        <v>0</v>
      </c>
      <c r="AR200" s="82">
        <f t="shared" si="144"/>
        <v>0</v>
      </c>
      <c r="AS200" s="9"/>
      <c r="AT200" s="9"/>
      <c r="AU200" s="9"/>
      <c r="AV200" s="9"/>
      <c r="AW200" s="65"/>
      <c r="AX200" s="65"/>
      <c r="AY200" s="62"/>
      <c r="AZ200" s="62"/>
      <c r="BA200" s="62"/>
      <c r="BB200" s="62"/>
      <c r="BC200" s="62"/>
      <c r="BD200" s="62"/>
      <c r="BE200" s="62"/>
      <c r="BF200" s="62"/>
      <c r="BG200" s="62"/>
      <c r="BH200" s="62"/>
      <c r="BI200" s="62"/>
      <c r="BJ200" s="62"/>
      <c r="BK200" s="62"/>
      <c r="BL200" s="62"/>
      <c r="BM200" s="62"/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X200" s="62"/>
      <c r="BY200" s="62"/>
      <c r="BZ200" s="62"/>
      <c r="CA200" s="62"/>
      <c r="CB200" s="62"/>
      <c r="CC200" s="62"/>
      <c r="CD200" s="62"/>
      <c r="CE200" s="62"/>
      <c r="CF200" s="62"/>
      <c r="CG200" s="62"/>
    </row>
    <row r="201" spans="1:85" s="4" customFormat="1" ht="64.5" customHeight="1" outlineLevel="1" x14ac:dyDescent="0.25">
      <c r="A201" s="147" t="s">
        <v>237</v>
      </c>
      <c r="B201" s="148"/>
      <c r="C201" s="148"/>
      <c r="D201" s="102"/>
      <c r="E201" s="29"/>
      <c r="F201" s="102"/>
      <c r="G201" s="102"/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2"/>
      <c r="Z201" s="102"/>
      <c r="AA201" s="102"/>
      <c r="AB201" s="102"/>
      <c r="AC201" s="102"/>
      <c r="AD201" s="102"/>
      <c r="AE201" s="102"/>
      <c r="AF201" s="102"/>
      <c r="AG201" s="102"/>
      <c r="AH201" s="30"/>
      <c r="AI201" s="30"/>
      <c r="AJ201" s="102"/>
      <c r="AK201" s="30"/>
      <c r="AL201" s="102"/>
      <c r="AM201" s="102"/>
      <c r="AN201" s="102"/>
      <c r="AO201" s="102"/>
      <c r="AP201" s="102"/>
      <c r="AQ201" s="121"/>
      <c r="AR201" s="126"/>
      <c r="AS201" s="9"/>
      <c r="AT201" s="9"/>
      <c r="AU201" s="9"/>
      <c r="AV201" s="9"/>
      <c r="AW201" s="65"/>
      <c r="AX201" s="65"/>
      <c r="AY201" s="62"/>
      <c r="AZ201" s="62"/>
      <c r="BA201" s="62"/>
      <c r="BB201" s="62"/>
      <c r="BC201" s="62"/>
      <c r="BD201" s="62"/>
      <c r="BE201" s="62"/>
      <c r="BF201" s="62"/>
      <c r="BG201" s="62"/>
      <c r="BH201" s="62"/>
      <c r="BI201" s="62"/>
      <c r="BJ201" s="62"/>
      <c r="BK201" s="62"/>
      <c r="BL201" s="62"/>
      <c r="BM201" s="62"/>
      <c r="BN201" s="62"/>
      <c r="BO201" s="62"/>
      <c r="BP201" s="62"/>
      <c r="BQ201" s="62"/>
      <c r="BR201" s="62"/>
      <c r="BS201" s="62"/>
      <c r="BT201" s="62"/>
      <c r="BU201" s="62"/>
      <c r="BV201" s="62"/>
      <c r="BW201" s="62"/>
      <c r="BX201" s="62"/>
      <c r="BY201" s="62"/>
      <c r="BZ201" s="62"/>
      <c r="CA201" s="62"/>
      <c r="CB201" s="62"/>
      <c r="CC201" s="62"/>
      <c r="CD201" s="62"/>
      <c r="CE201" s="62"/>
      <c r="CF201" s="62"/>
      <c r="CG201" s="62"/>
    </row>
    <row r="202" spans="1:85" s="62" customFormat="1" ht="64.5" customHeight="1" outlineLevel="1" x14ac:dyDescent="0.25">
      <c r="A202" s="25">
        <f>A200+1</f>
        <v>164</v>
      </c>
      <c r="B202" s="26" t="s">
        <v>257</v>
      </c>
      <c r="C202" s="27" t="s">
        <v>186</v>
      </c>
      <c r="D202" s="28" t="s">
        <v>18</v>
      </c>
      <c r="E202" s="29">
        <f t="shared" si="145"/>
        <v>3747.9</v>
      </c>
      <c r="F202" s="29">
        <v>690.5</v>
      </c>
      <c r="G202" s="30">
        <f t="shared" si="138"/>
        <v>0</v>
      </c>
      <c r="H202" s="30"/>
      <c r="I202" s="30">
        <f t="shared" si="148"/>
        <v>0</v>
      </c>
      <c r="J202" s="31">
        <v>974.1</v>
      </c>
      <c r="K202" s="30">
        <f t="shared" si="149"/>
        <v>0</v>
      </c>
      <c r="L202" s="30"/>
      <c r="M202" s="30">
        <f t="shared" si="150"/>
        <v>0</v>
      </c>
      <c r="N202" s="29">
        <v>0</v>
      </c>
      <c r="O202" s="30">
        <f t="shared" si="151"/>
        <v>0</v>
      </c>
      <c r="P202" s="30"/>
      <c r="Q202" s="30">
        <f t="shared" si="152"/>
        <v>0</v>
      </c>
      <c r="R202" s="30">
        <v>469.1</v>
      </c>
      <c r="S202" s="30">
        <f t="shared" si="193"/>
        <v>0</v>
      </c>
      <c r="T202" s="30"/>
      <c r="U202" s="30">
        <f t="shared" si="153"/>
        <v>0</v>
      </c>
      <c r="V202" s="29">
        <v>1400.6</v>
      </c>
      <c r="W202" s="30">
        <f t="shared" si="141"/>
        <v>0</v>
      </c>
      <c r="X202" s="30"/>
      <c r="Y202" s="30">
        <f t="shared" si="154"/>
        <v>0</v>
      </c>
      <c r="Z202" s="31">
        <v>163.30000000000001</v>
      </c>
      <c r="AA202" s="30">
        <f t="shared" si="142"/>
        <v>0</v>
      </c>
      <c r="AB202" s="58"/>
      <c r="AC202" s="30">
        <f t="shared" si="155"/>
        <v>0</v>
      </c>
      <c r="AD202" s="31">
        <v>50.3</v>
      </c>
      <c r="AE202" s="30">
        <f t="shared" si="156"/>
        <v>0</v>
      </c>
      <c r="AF202" s="30"/>
      <c r="AG202" s="30">
        <f t="shared" si="157"/>
        <v>0</v>
      </c>
      <c r="AH202" s="30">
        <f t="shared" si="147"/>
        <v>0</v>
      </c>
      <c r="AI202" s="30">
        <f t="shared" si="164"/>
        <v>0</v>
      </c>
      <c r="AJ202" s="31">
        <v>40</v>
      </c>
      <c r="AK202" s="30" t="s">
        <v>314</v>
      </c>
      <c r="AL202" s="32">
        <v>0</v>
      </c>
      <c r="AM202" s="32">
        <f t="shared" si="167"/>
        <v>0</v>
      </c>
      <c r="AN202" s="32"/>
      <c r="AO202" s="32">
        <f t="shared" si="159"/>
        <v>0</v>
      </c>
      <c r="AP202" s="32">
        <f t="shared" si="158"/>
        <v>0</v>
      </c>
      <c r="AQ202" s="33">
        <f t="shared" si="144"/>
        <v>0</v>
      </c>
      <c r="AR202" s="82">
        <f t="shared" si="144"/>
        <v>0</v>
      </c>
      <c r="AS202" s="65"/>
      <c r="AT202" s="65"/>
      <c r="AU202" s="65"/>
      <c r="AV202" s="65"/>
      <c r="AW202" s="65"/>
      <c r="AX202" s="65"/>
    </row>
    <row r="203" spans="1:85" s="4" customFormat="1" ht="75" outlineLevel="1" x14ac:dyDescent="0.25">
      <c r="A203" s="25">
        <f>A202+1</f>
        <v>165</v>
      </c>
      <c r="B203" s="26" t="s">
        <v>257</v>
      </c>
      <c r="C203" s="27" t="s">
        <v>187</v>
      </c>
      <c r="D203" s="28" t="s">
        <v>18</v>
      </c>
      <c r="E203" s="29">
        <f t="shared" si="145"/>
        <v>752.90000000000009</v>
      </c>
      <c r="F203" s="29">
        <f>101.1+243.1</f>
        <v>344.2</v>
      </c>
      <c r="G203" s="30">
        <f t="shared" si="138"/>
        <v>0</v>
      </c>
      <c r="H203" s="30"/>
      <c r="I203" s="30">
        <f t="shared" si="148"/>
        <v>0</v>
      </c>
      <c r="J203" s="31">
        <f>75.9+98.1</f>
        <v>174</v>
      </c>
      <c r="K203" s="30">
        <f t="shared" si="149"/>
        <v>0</v>
      </c>
      <c r="L203" s="30"/>
      <c r="M203" s="30">
        <f t="shared" si="150"/>
        <v>0</v>
      </c>
      <c r="N203" s="29">
        <v>0</v>
      </c>
      <c r="O203" s="30">
        <f t="shared" si="151"/>
        <v>0</v>
      </c>
      <c r="P203" s="30"/>
      <c r="Q203" s="30">
        <f t="shared" si="152"/>
        <v>0</v>
      </c>
      <c r="R203" s="30">
        <f>14.1</f>
        <v>14.1</v>
      </c>
      <c r="S203" s="30">
        <f t="shared" ref="S203:S204" si="212">T203/1.18</f>
        <v>0</v>
      </c>
      <c r="T203" s="30"/>
      <c r="U203" s="30">
        <f t="shared" si="153"/>
        <v>0</v>
      </c>
      <c r="V203" s="29">
        <f>29.3+19.4+63.2+15+66.2+21.5+1.7</f>
        <v>216.3</v>
      </c>
      <c r="W203" s="30">
        <f t="shared" si="141"/>
        <v>0</v>
      </c>
      <c r="X203" s="30"/>
      <c r="Y203" s="30">
        <f t="shared" si="154"/>
        <v>0</v>
      </c>
      <c r="Z203" s="31">
        <v>0</v>
      </c>
      <c r="AA203" s="30">
        <f t="shared" si="142"/>
        <v>0</v>
      </c>
      <c r="AB203" s="58"/>
      <c r="AC203" s="30">
        <f t="shared" si="155"/>
        <v>0</v>
      </c>
      <c r="AD203" s="31">
        <v>4.3</v>
      </c>
      <c r="AE203" s="30">
        <f t="shared" si="156"/>
        <v>0</v>
      </c>
      <c r="AF203" s="30"/>
      <c r="AG203" s="30">
        <f t="shared" si="157"/>
        <v>0</v>
      </c>
      <c r="AH203" s="30">
        <f t="shared" si="147"/>
        <v>0</v>
      </c>
      <c r="AI203" s="30">
        <f t="shared" si="164"/>
        <v>0</v>
      </c>
      <c r="AJ203" s="31">
        <v>15</v>
      </c>
      <c r="AK203" s="30" t="s">
        <v>314</v>
      </c>
      <c r="AL203" s="32">
        <v>0</v>
      </c>
      <c r="AM203" s="32">
        <f t="shared" si="167"/>
        <v>0</v>
      </c>
      <c r="AN203" s="32"/>
      <c r="AO203" s="32">
        <f t="shared" si="159"/>
        <v>0</v>
      </c>
      <c r="AP203" s="32">
        <f t="shared" si="158"/>
        <v>0</v>
      </c>
      <c r="AQ203" s="33">
        <f t="shared" si="144"/>
        <v>0</v>
      </c>
      <c r="AR203" s="82">
        <f t="shared" si="144"/>
        <v>0</v>
      </c>
      <c r="AS203" s="9"/>
      <c r="AT203" s="9"/>
      <c r="AU203" s="9"/>
      <c r="AV203" s="9"/>
      <c r="AW203" s="65"/>
      <c r="AX203" s="65"/>
      <c r="AY203" s="62"/>
      <c r="AZ203" s="62"/>
      <c r="BA203" s="62"/>
      <c r="BB203" s="62"/>
      <c r="BC203" s="62"/>
      <c r="BD203" s="62"/>
      <c r="BE203" s="62"/>
      <c r="BF203" s="62"/>
      <c r="BG203" s="62"/>
      <c r="BH203" s="62"/>
      <c r="BI203" s="62"/>
      <c r="BJ203" s="62"/>
      <c r="BK203" s="62"/>
      <c r="BL203" s="62"/>
      <c r="BM203" s="62"/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X203" s="62"/>
      <c r="BY203" s="62"/>
      <c r="BZ203" s="62"/>
      <c r="CA203" s="62"/>
      <c r="CB203" s="62"/>
      <c r="CC203" s="62"/>
      <c r="CD203" s="62"/>
      <c r="CE203" s="62"/>
      <c r="CF203" s="62"/>
      <c r="CG203" s="62"/>
    </row>
    <row r="204" spans="1:85" s="4" customFormat="1" ht="64.5" customHeight="1" outlineLevel="1" x14ac:dyDescent="0.25">
      <c r="A204" s="25">
        <f t="shared" ref="A204:A205" si="213">A203+1</f>
        <v>166</v>
      </c>
      <c r="B204" s="26" t="s">
        <v>256</v>
      </c>
      <c r="C204" s="27" t="s">
        <v>188</v>
      </c>
      <c r="D204" s="28" t="s">
        <v>18</v>
      </c>
      <c r="E204" s="29">
        <f t="shared" si="145"/>
        <v>1298</v>
      </c>
      <c r="F204" s="29">
        <f>199.4+62.6</f>
        <v>262</v>
      </c>
      <c r="G204" s="30">
        <f t="shared" si="138"/>
        <v>0</v>
      </c>
      <c r="H204" s="30"/>
      <c r="I204" s="30">
        <f t="shared" si="148"/>
        <v>0</v>
      </c>
      <c r="J204" s="31">
        <f>120.2+71.2+67.7+31.6+50.2+93</f>
        <v>433.90000000000003</v>
      </c>
      <c r="K204" s="30">
        <f t="shared" si="149"/>
        <v>0</v>
      </c>
      <c r="L204" s="30"/>
      <c r="M204" s="30">
        <f t="shared" si="150"/>
        <v>0</v>
      </c>
      <c r="N204" s="29">
        <v>0</v>
      </c>
      <c r="O204" s="30">
        <f t="shared" si="151"/>
        <v>0</v>
      </c>
      <c r="P204" s="30"/>
      <c r="Q204" s="30">
        <f t="shared" si="152"/>
        <v>0</v>
      </c>
      <c r="R204" s="30">
        <f>30.8+115.9</f>
        <v>146.70000000000002</v>
      </c>
      <c r="S204" s="30">
        <f t="shared" si="212"/>
        <v>0</v>
      </c>
      <c r="T204" s="30"/>
      <c r="U204" s="30">
        <f t="shared" si="153"/>
        <v>0</v>
      </c>
      <c r="V204" s="29">
        <v>403.4</v>
      </c>
      <c r="W204" s="30">
        <f t="shared" si="141"/>
        <v>0</v>
      </c>
      <c r="X204" s="30"/>
      <c r="Y204" s="30">
        <f t="shared" si="154"/>
        <v>0</v>
      </c>
      <c r="Z204" s="31">
        <v>43.2</v>
      </c>
      <c r="AA204" s="30">
        <f t="shared" si="142"/>
        <v>0</v>
      </c>
      <c r="AB204" s="58"/>
      <c r="AC204" s="30">
        <f t="shared" si="155"/>
        <v>0</v>
      </c>
      <c r="AD204" s="31">
        <v>8.8000000000000007</v>
      </c>
      <c r="AE204" s="30">
        <f t="shared" si="156"/>
        <v>0</v>
      </c>
      <c r="AF204" s="30"/>
      <c r="AG204" s="30">
        <f t="shared" si="157"/>
        <v>0</v>
      </c>
      <c r="AH204" s="30">
        <f t="shared" si="147"/>
        <v>0</v>
      </c>
      <c r="AI204" s="30">
        <f t="shared" si="164"/>
        <v>0</v>
      </c>
      <c r="AJ204" s="31">
        <v>100</v>
      </c>
      <c r="AK204" s="30" t="s">
        <v>314</v>
      </c>
      <c r="AL204" s="32">
        <v>0</v>
      </c>
      <c r="AM204" s="32">
        <f t="shared" si="167"/>
        <v>0</v>
      </c>
      <c r="AN204" s="32"/>
      <c r="AO204" s="32">
        <f t="shared" si="159"/>
        <v>0</v>
      </c>
      <c r="AP204" s="32">
        <f t="shared" si="158"/>
        <v>0</v>
      </c>
      <c r="AQ204" s="33">
        <f t="shared" ref="AQ204:AR254" si="214">AH204+AO204</f>
        <v>0</v>
      </c>
      <c r="AR204" s="82">
        <f t="shared" si="214"/>
        <v>0</v>
      </c>
      <c r="AS204" s="9"/>
      <c r="AT204" s="9"/>
      <c r="AU204" s="9"/>
      <c r="AV204" s="9"/>
      <c r="AW204" s="65"/>
      <c r="AX204" s="65"/>
      <c r="AY204" s="62"/>
      <c r="AZ204" s="62"/>
      <c r="BA204" s="62"/>
      <c r="BB204" s="62"/>
      <c r="BC204" s="62"/>
      <c r="BD204" s="62"/>
      <c r="BE204" s="62"/>
      <c r="BF204" s="62"/>
      <c r="BG204" s="62"/>
      <c r="BH204" s="62"/>
      <c r="BI204" s="62"/>
      <c r="BJ204" s="62"/>
      <c r="BK204" s="62"/>
      <c r="BL204" s="62"/>
      <c r="BM204" s="62"/>
      <c r="BN204" s="62"/>
      <c r="BO204" s="62"/>
      <c r="BP204" s="62"/>
      <c r="BQ204" s="62"/>
      <c r="BR204" s="62"/>
      <c r="BS204" s="62"/>
      <c r="BT204" s="62"/>
      <c r="BU204" s="62"/>
      <c r="BV204" s="62"/>
      <c r="BW204" s="62"/>
      <c r="BX204" s="62"/>
      <c r="BY204" s="62"/>
      <c r="BZ204" s="62"/>
      <c r="CA204" s="62"/>
      <c r="CB204" s="62"/>
      <c r="CC204" s="62"/>
      <c r="CD204" s="62"/>
      <c r="CE204" s="62"/>
      <c r="CF204" s="62"/>
      <c r="CG204" s="62"/>
    </row>
    <row r="205" spans="1:85" s="4" customFormat="1" ht="64.5" customHeight="1" outlineLevel="1" x14ac:dyDescent="0.25">
      <c r="A205" s="25">
        <f t="shared" si="213"/>
        <v>167</v>
      </c>
      <c r="B205" s="26" t="s">
        <v>256</v>
      </c>
      <c r="C205" s="27" t="s">
        <v>192</v>
      </c>
      <c r="D205" s="28" t="s">
        <v>18</v>
      </c>
      <c r="E205" s="29">
        <f t="shared" ref="E205:E257" si="215">F205+J205+N205+R205+V205+Z205+AD205</f>
        <v>684.19999999999993</v>
      </c>
      <c r="F205" s="29">
        <f>165.9</f>
        <v>165.9</v>
      </c>
      <c r="G205" s="30">
        <f>H205/1.18</f>
        <v>0</v>
      </c>
      <c r="H205" s="30"/>
      <c r="I205" s="30">
        <f>H205*F205</f>
        <v>0</v>
      </c>
      <c r="J205" s="31">
        <f>72.8+27.3+115.8+44.4+81.6</f>
        <v>341.9</v>
      </c>
      <c r="K205" s="30">
        <f>L205/1.18</f>
        <v>0</v>
      </c>
      <c r="L205" s="30"/>
      <c r="M205" s="30">
        <f>L205*J205</f>
        <v>0</v>
      </c>
      <c r="N205" s="29">
        <v>0</v>
      </c>
      <c r="O205" s="30">
        <f>P205/1.18</f>
        <v>0</v>
      </c>
      <c r="P205" s="30"/>
      <c r="Q205" s="30">
        <f>P205*N205</f>
        <v>0</v>
      </c>
      <c r="R205" s="30">
        <v>0</v>
      </c>
      <c r="S205" s="30">
        <v>4.2</v>
      </c>
      <c r="T205" s="30"/>
      <c r="U205" s="30">
        <f>T205*R205</f>
        <v>0</v>
      </c>
      <c r="V205" s="29">
        <f>31+12.8+41+8.3+55.9+22.3-14.7</f>
        <v>156.60000000000002</v>
      </c>
      <c r="W205" s="30">
        <f>X205/1.18</f>
        <v>0</v>
      </c>
      <c r="X205" s="30"/>
      <c r="Y205" s="30">
        <f>X205*V205</f>
        <v>0</v>
      </c>
      <c r="Z205" s="31">
        <v>0</v>
      </c>
      <c r="AA205" s="30">
        <f>AB205/1.18</f>
        <v>0</v>
      </c>
      <c r="AB205" s="58"/>
      <c r="AC205" s="30">
        <f>AB205*Z205</f>
        <v>0</v>
      </c>
      <c r="AD205" s="31">
        <f>8.9+3.1+7.8</f>
        <v>19.8</v>
      </c>
      <c r="AE205" s="30">
        <f>AF205/1.18</f>
        <v>0</v>
      </c>
      <c r="AF205" s="30"/>
      <c r="AG205" s="30">
        <f>AF205*AD205</f>
        <v>0</v>
      </c>
      <c r="AH205" s="30">
        <f t="shared" ref="AH205:AH257" si="216">AI205/1.18</f>
        <v>0</v>
      </c>
      <c r="AI205" s="30">
        <f t="shared" si="164"/>
        <v>0</v>
      </c>
      <c r="AJ205" s="31">
        <v>15</v>
      </c>
      <c r="AK205" s="30" t="s">
        <v>314</v>
      </c>
      <c r="AL205" s="32">
        <v>0</v>
      </c>
      <c r="AM205" s="32">
        <f t="shared" si="167"/>
        <v>0</v>
      </c>
      <c r="AN205" s="32"/>
      <c r="AO205" s="32">
        <f>AM205*AJ205</f>
        <v>0</v>
      </c>
      <c r="AP205" s="32">
        <f>AN205*AJ205</f>
        <v>0</v>
      </c>
      <c r="AQ205" s="33">
        <f t="shared" si="214"/>
        <v>0</v>
      </c>
      <c r="AR205" s="82">
        <f t="shared" si="214"/>
        <v>0</v>
      </c>
      <c r="AS205" s="9"/>
      <c r="AT205" s="9"/>
      <c r="AU205" s="9"/>
      <c r="AV205" s="9"/>
      <c r="AW205" s="65"/>
      <c r="AX205" s="65"/>
      <c r="AY205" s="62"/>
      <c r="AZ205" s="62"/>
      <c r="BA205" s="62"/>
      <c r="BB205" s="62"/>
      <c r="BC205" s="62"/>
      <c r="BD205" s="62"/>
      <c r="BE205" s="62"/>
      <c r="BF205" s="62"/>
      <c r="BG205" s="62"/>
      <c r="BH205" s="62"/>
      <c r="BI205" s="62"/>
      <c r="BJ205" s="62"/>
      <c r="BK205" s="62"/>
      <c r="BL205" s="62"/>
      <c r="BM205" s="62"/>
      <c r="BN205" s="62"/>
      <c r="BO205" s="62"/>
      <c r="BP205" s="62"/>
      <c r="BQ205" s="62"/>
      <c r="BR205" s="62"/>
      <c r="BS205" s="62"/>
      <c r="BT205" s="62"/>
      <c r="BU205" s="62"/>
      <c r="BV205" s="62"/>
      <c r="BW205" s="62"/>
      <c r="BX205" s="62"/>
      <c r="BY205" s="62"/>
      <c r="BZ205" s="62"/>
      <c r="CA205" s="62"/>
      <c r="CB205" s="62"/>
      <c r="CC205" s="62"/>
      <c r="CD205" s="62"/>
      <c r="CE205" s="62"/>
      <c r="CF205" s="62"/>
      <c r="CG205" s="62"/>
    </row>
    <row r="206" spans="1:85" s="4" customFormat="1" ht="64.5" customHeight="1" outlineLevel="1" x14ac:dyDescent="0.25">
      <c r="A206" s="145" t="s">
        <v>238</v>
      </c>
      <c r="B206" s="146"/>
      <c r="C206" s="146"/>
      <c r="D206" s="106"/>
      <c r="E206" s="29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  <c r="AG206" s="106"/>
      <c r="AH206" s="30"/>
      <c r="AI206" s="30"/>
      <c r="AJ206" s="106"/>
      <c r="AK206" s="30"/>
      <c r="AL206" s="106"/>
      <c r="AM206" s="106"/>
      <c r="AN206" s="106"/>
      <c r="AO206" s="106"/>
      <c r="AP206" s="106"/>
      <c r="AQ206" s="111"/>
      <c r="AR206" s="126"/>
      <c r="AS206" s="9"/>
      <c r="AT206" s="9"/>
      <c r="AU206" s="9"/>
      <c r="AV206" s="9"/>
      <c r="AW206" s="65"/>
      <c r="AX206" s="65"/>
      <c r="AY206" s="62"/>
      <c r="AZ206" s="62"/>
      <c r="BA206" s="62"/>
      <c r="BB206" s="62"/>
      <c r="BC206" s="62"/>
      <c r="BD206" s="62"/>
      <c r="BE206" s="62"/>
      <c r="BF206" s="62"/>
      <c r="BG206" s="62"/>
      <c r="BH206" s="62"/>
      <c r="BI206" s="62"/>
      <c r="BJ206" s="62"/>
      <c r="BK206" s="62"/>
      <c r="BL206" s="62"/>
      <c r="BM206" s="62"/>
      <c r="BN206" s="62"/>
      <c r="BO206" s="62"/>
      <c r="BP206" s="62"/>
      <c r="BQ206" s="62"/>
      <c r="BR206" s="62"/>
      <c r="BS206" s="62"/>
      <c r="BT206" s="62"/>
      <c r="BU206" s="62"/>
      <c r="BV206" s="62"/>
      <c r="BW206" s="62"/>
      <c r="BX206" s="62"/>
      <c r="BY206" s="62"/>
      <c r="BZ206" s="62"/>
      <c r="CA206" s="62"/>
      <c r="CB206" s="62"/>
      <c r="CC206" s="62"/>
      <c r="CD206" s="62"/>
      <c r="CE206" s="62"/>
      <c r="CF206" s="62"/>
      <c r="CG206" s="62"/>
    </row>
    <row r="207" spans="1:85" s="4" customFormat="1" ht="64.5" customHeight="1" outlineLevel="1" x14ac:dyDescent="0.25">
      <c r="A207" s="25">
        <f>A205+1</f>
        <v>168</v>
      </c>
      <c r="B207" s="26" t="s">
        <v>256</v>
      </c>
      <c r="C207" s="27" t="s">
        <v>190</v>
      </c>
      <c r="D207" s="28" t="s">
        <v>18</v>
      </c>
      <c r="E207" s="29">
        <f t="shared" si="215"/>
        <v>747.95</v>
      </c>
      <c r="F207" s="29">
        <v>0</v>
      </c>
      <c r="G207" s="30">
        <f t="shared" si="138"/>
        <v>0</v>
      </c>
      <c r="H207" s="30"/>
      <c r="I207" s="30">
        <f t="shared" si="148"/>
        <v>0</v>
      </c>
      <c r="J207" s="31">
        <f>188.6+252.2+201.95</f>
        <v>642.75</v>
      </c>
      <c r="K207" s="30">
        <f>L207/1.18</f>
        <v>0</v>
      </c>
      <c r="L207" s="30"/>
      <c r="M207" s="30">
        <f>L207*J207</f>
        <v>0</v>
      </c>
      <c r="N207" s="29">
        <v>0</v>
      </c>
      <c r="O207" s="30">
        <f t="shared" si="151"/>
        <v>0</v>
      </c>
      <c r="P207" s="30"/>
      <c r="Q207" s="30">
        <f t="shared" si="152"/>
        <v>0</v>
      </c>
      <c r="R207" s="30">
        <v>0</v>
      </c>
      <c r="S207" s="30">
        <f t="shared" ref="S207:S209" si="217">T207/1.18</f>
        <v>0</v>
      </c>
      <c r="T207" s="30"/>
      <c r="U207" s="30">
        <f t="shared" si="153"/>
        <v>0</v>
      </c>
      <c r="V207" s="29">
        <f>71.3+13.4+13.4</f>
        <v>98.100000000000009</v>
      </c>
      <c r="W207" s="30">
        <f t="shared" si="141"/>
        <v>0</v>
      </c>
      <c r="X207" s="30"/>
      <c r="Y207" s="30">
        <f t="shared" si="154"/>
        <v>0</v>
      </c>
      <c r="Z207" s="31">
        <v>0</v>
      </c>
      <c r="AA207" s="30">
        <f t="shared" si="142"/>
        <v>0</v>
      </c>
      <c r="AB207" s="58"/>
      <c r="AC207" s="30">
        <f t="shared" si="155"/>
        <v>0</v>
      </c>
      <c r="AD207" s="31">
        <v>7.1</v>
      </c>
      <c r="AE207" s="30">
        <f t="shared" si="156"/>
        <v>0</v>
      </c>
      <c r="AF207" s="30"/>
      <c r="AG207" s="30">
        <f t="shared" si="157"/>
        <v>0</v>
      </c>
      <c r="AH207" s="30">
        <f t="shared" si="216"/>
        <v>0</v>
      </c>
      <c r="AI207" s="30">
        <f t="shared" si="164"/>
        <v>0</v>
      </c>
      <c r="AJ207" s="31">
        <v>20</v>
      </c>
      <c r="AK207" s="30" t="s">
        <v>314</v>
      </c>
      <c r="AL207" s="32">
        <v>0</v>
      </c>
      <c r="AM207" s="32">
        <f t="shared" si="167"/>
        <v>0</v>
      </c>
      <c r="AN207" s="32"/>
      <c r="AO207" s="32">
        <f t="shared" si="159"/>
        <v>0</v>
      </c>
      <c r="AP207" s="32">
        <f t="shared" si="158"/>
        <v>0</v>
      </c>
      <c r="AQ207" s="33">
        <f t="shared" si="214"/>
        <v>0</v>
      </c>
      <c r="AR207" s="82">
        <f t="shared" si="214"/>
        <v>0</v>
      </c>
      <c r="AS207" s="9"/>
      <c r="AT207" s="9"/>
      <c r="AU207" s="9"/>
      <c r="AV207" s="9"/>
      <c r="AW207" s="65"/>
      <c r="AX207" s="65"/>
      <c r="AY207" s="62"/>
      <c r="AZ207" s="62"/>
      <c r="BA207" s="62"/>
      <c r="BB207" s="62"/>
      <c r="BC207" s="62"/>
      <c r="BD207" s="62"/>
      <c r="BE207" s="62"/>
      <c r="BF207" s="62"/>
      <c r="BG207" s="62"/>
      <c r="BH207" s="62"/>
      <c r="BI207" s="62"/>
      <c r="BJ207" s="62"/>
      <c r="BK207" s="62"/>
      <c r="BL207" s="62"/>
      <c r="BM207" s="62"/>
      <c r="BN207" s="62"/>
      <c r="BO207" s="62"/>
      <c r="BP207" s="62"/>
      <c r="BQ207" s="62"/>
      <c r="BR207" s="62"/>
      <c r="BS207" s="62"/>
      <c r="BT207" s="62"/>
      <c r="BU207" s="62"/>
      <c r="BV207" s="62"/>
      <c r="BW207" s="62"/>
      <c r="BX207" s="62"/>
      <c r="BY207" s="62"/>
      <c r="BZ207" s="62"/>
      <c r="CA207" s="62"/>
      <c r="CB207" s="62"/>
      <c r="CC207" s="62"/>
      <c r="CD207" s="62"/>
      <c r="CE207" s="62"/>
      <c r="CF207" s="62"/>
      <c r="CG207" s="62"/>
    </row>
    <row r="208" spans="1:85" s="4" customFormat="1" ht="64.5" customHeight="1" outlineLevel="1" x14ac:dyDescent="0.25">
      <c r="A208" s="25">
        <f>A207+1</f>
        <v>169</v>
      </c>
      <c r="B208" s="26" t="s">
        <v>256</v>
      </c>
      <c r="C208" s="27" t="s">
        <v>191</v>
      </c>
      <c r="D208" s="28" t="s">
        <v>18</v>
      </c>
      <c r="E208" s="29">
        <f t="shared" si="215"/>
        <v>342.40000000000003</v>
      </c>
      <c r="F208" s="29">
        <v>0</v>
      </c>
      <c r="G208" s="30">
        <f t="shared" si="138"/>
        <v>0</v>
      </c>
      <c r="H208" s="30"/>
      <c r="I208" s="30">
        <f t="shared" si="148"/>
        <v>0</v>
      </c>
      <c r="J208" s="31">
        <v>239.9</v>
      </c>
      <c r="K208" s="30">
        <f>L208/1.18</f>
        <v>0</v>
      </c>
      <c r="L208" s="30"/>
      <c r="M208" s="30">
        <f>L208*J208</f>
        <v>0</v>
      </c>
      <c r="N208" s="29">
        <v>0</v>
      </c>
      <c r="O208" s="30">
        <f t="shared" si="151"/>
        <v>0</v>
      </c>
      <c r="P208" s="30"/>
      <c r="Q208" s="30">
        <f t="shared" si="152"/>
        <v>0</v>
      </c>
      <c r="R208" s="30">
        <v>0</v>
      </c>
      <c r="S208" s="30">
        <f t="shared" si="217"/>
        <v>0</v>
      </c>
      <c r="T208" s="30"/>
      <c r="U208" s="30">
        <f t="shared" si="153"/>
        <v>0</v>
      </c>
      <c r="V208" s="29">
        <v>93.9</v>
      </c>
      <c r="W208" s="30">
        <f t="shared" si="141"/>
        <v>0</v>
      </c>
      <c r="X208" s="30"/>
      <c r="Y208" s="30">
        <f t="shared" si="154"/>
        <v>0</v>
      </c>
      <c r="Z208" s="31">
        <v>0</v>
      </c>
      <c r="AA208" s="30">
        <f t="shared" si="142"/>
        <v>0</v>
      </c>
      <c r="AB208" s="58"/>
      <c r="AC208" s="30">
        <f t="shared" si="155"/>
        <v>0</v>
      </c>
      <c r="AD208" s="31">
        <v>8.6</v>
      </c>
      <c r="AE208" s="30">
        <f t="shared" si="156"/>
        <v>0</v>
      </c>
      <c r="AF208" s="30"/>
      <c r="AG208" s="30">
        <f t="shared" si="157"/>
        <v>0</v>
      </c>
      <c r="AH208" s="30">
        <f t="shared" si="216"/>
        <v>0</v>
      </c>
      <c r="AI208" s="30">
        <f t="shared" si="164"/>
        <v>0</v>
      </c>
      <c r="AJ208" s="31">
        <v>0</v>
      </c>
      <c r="AK208" s="30" t="s">
        <v>314</v>
      </c>
      <c r="AL208" s="32">
        <v>0</v>
      </c>
      <c r="AM208" s="32">
        <f t="shared" si="167"/>
        <v>0</v>
      </c>
      <c r="AN208" s="32"/>
      <c r="AO208" s="32">
        <f t="shared" si="159"/>
        <v>0</v>
      </c>
      <c r="AP208" s="32">
        <f t="shared" si="158"/>
        <v>0</v>
      </c>
      <c r="AQ208" s="33">
        <f t="shared" si="214"/>
        <v>0</v>
      </c>
      <c r="AR208" s="82">
        <f t="shared" si="214"/>
        <v>0</v>
      </c>
      <c r="AS208" s="9"/>
      <c r="AT208" s="9"/>
      <c r="AU208" s="9"/>
      <c r="AV208" s="9"/>
      <c r="AW208" s="65"/>
      <c r="AX208" s="65"/>
      <c r="AY208" s="62"/>
      <c r="AZ208" s="62"/>
      <c r="BA208" s="62"/>
      <c r="BB208" s="62"/>
      <c r="BC208" s="62"/>
      <c r="BD208" s="62"/>
      <c r="BE208" s="62"/>
      <c r="BF208" s="62"/>
      <c r="BG208" s="62"/>
      <c r="BH208" s="62"/>
      <c r="BI208" s="62"/>
      <c r="BJ208" s="62"/>
      <c r="BK208" s="62"/>
      <c r="BL208" s="62"/>
      <c r="BM208" s="62"/>
      <c r="BN208" s="62"/>
      <c r="BO208" s="62"/>
      <c r="BP208" s="62"/>
      <c r="BQ208" s="62"/>
      <c r="BR208" s="62"/>
      <c r="BS208" s="62"/>
      <c r="BT208" s="62"/>
      <c r="BU208" s="62"/>
      <c r="BV208" s="62"/>
      <c r="BW208" s="62"/>
      <c r="BX208" s="62"/>
      <c r="BY208" s="62"/>
      <c r="BZ208" s="62"/>
      <c r="CA208" s="62"/>
      <c r="CB208" s="62"/>
      <c r="CC208" s="62"/>
      <c r="CD208" s="62"/>
      <c r="CE208" s="62"/>
      <c r="CF208" s="62"/>
      <c r="CG208" s="62"/>
    </row>
    <row r="209" spans="1:85" s="4" customFormat="1" ht="64.5" customHeight="1" outlineLevel="1" x14ac:dyDescent="0.25">
      <c r="A209" s="25">
        <f>A208+1</f>
        <v>170</v>
      </c>
      <c r="B209" s="26" t="s">
        <v>256</v>
      </c>
      <c r="C209" s="27" t="s">
        <v>63</v>
      </c>
      <c r="D209" s="28" t="s">
        <v>18</v>
      </c>
      <c r="E209" s="29">
        <f t="shared" si="215"/>
        <v>60</v>
      </c>
      <c r="F209" s="29">
        <v>0</v>
      </c>
      <c r="G209" s="30">
        <f t="shared" si="138"/>
        <v>0</v>
      </c>
      <c r="H209" s="30"/>
      <c r="I209" s="30">
        <f t="shared" si="148"/>
        <v>0</v>
      </c>
      <c r="J209" s="31">
        <v>60</v>
      </c>
      <c r="K209" s="30">
        <f t="shared" si="149"/>
        <v>0</v>
      </c>
      <c r="L209" s="30"/>
      <c r="M209" s="30">
        <f t="shared" si="150"/>
        <v>0</v>
      </c>
      <c r="N209" s="29">
        <v>0</v>
      </c>
      <c r="O209" s="30">
        <f t="shared" si="151"/>
        <v>0</v>
      </c>
      <c r="P209" s="30"/>
      <c r="Q209" s="30">
        <f t="shared" si="152"/>
        <v>0</v>
      </c>
      <c r="R209" s="30">
        <v>0</v>
      </c>
      <c r="S209" s="30">
        <f t="shared" si="217"/>
        <v>0</v>
      </c>
      <c r="T209" s="30"/>
      <c r="U209" s="30">
        <f t="shared" si="153"/>
        <v>0</v>
      </c>
      <c r="V209" s="29">
        <v>0</v>
      </c>
      <c r="W209" s="30">
        <f t="shared" si="141"/>
        <v>0</v>
      </c>
      <c r="X209" s="30"/>
      <c r="Y209" s="30">
        <f t="shared" si="154"/>
        <v>0</v>
      </c>
      <c r="Z209" s="31">
        <v>0</v>
      </c>
      <c r="AA209" s="30">
        <f t="shared" si="142"/>
        <v>0</v>
      </c>
      <c r="AB209" s="58"/>
      <c r="AC209" s="30">
        <f t="shared" si="155"/>
        <v>0</v>
      </c>
      <c r="AD209" s="31">
        <v>0</v>
      </c>
      <c r="AE209" s="30">
        <f t="shared" si="156"/>
        <v>0</v>
      </c>
      <c r="AF209" s="30"/>
      <c r="AG209" s="30">
        <f t="shared" si="157"/>
        <v>0</v>
      </c>
      <c r="AH209" s="30">
        <f t="shared" si="216"/>
        <v>0</v>
      </c>
      <c r="AI209" s="30">
        <f t="shared" si="164"/>
        <v>0</v>
      </c>
      <c r="AJ209" s="31">
        <v>0</v>
      </c>
      <c r="AK209" s="30" t="s">
        <v>314</v>
      </c>
      <c r="AL209" s="32">
        <v>0</v>
      </c>
      <c r="AM209" s="32">
        <f t="shared" si="167"/>
        <v>0</v>
      </c>
      <c r="AN209" s="32"/>
      <c r="AO209" s="32">
        <f t="shared" si="159"/>
        <v>0</v>
      </c>
      <c r="AP209" s="32">
        <f t="shared" si="158"/>
        <v>0</v>
      </c>
      <c r="AQ209" s="33">
        <f t="shared" si="214"/>
        <v>0</v>
      </c>
      <c r="AR209" s="82">
        <f t="shared" si="214"/>
        <v>0</v>
      </c>
      <c r="AS209" s="9"/>
      <c r="AT209" s="9"/>
      <c r="AU209" s="9"/>
      <c r="AV209" s="9"/>
      <c r="AW209" s="65"/>
      <c r="AX209" s="65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  <c r="BI209" s="62"/>
      <c r="BJ209" s="62"/>
      <c r="BK209" s="62"/>
      <c r="BL209" s="62"/>
      <c r="BM209" s="62"/>
      <c r="BN209" s="62"/>
      <c r="BO209" s="62"/>
      <c r="BP209" s="62"/>
      <c r="BQ209" s="62"/>
      <c r="BR209" s="62"/>
      <c r="BS209" s="62"/>
      <c r="BT209" s="62"/>
      <c r="BU209" s="62"/>
      <c r="BV209" s="62"/>
      <c r="BW209" s="62"/>
      <c r="BX209" s="62"/>
      <c r="BY209" s="62"/>
      <c r="BZ209" s="62"/>
      <c r="CA209" s="62"/>
      <c r="CB209" s="62"/>
      <c r="CC209" s="62"/>
      <c r="CD209" s="62"/>
      <c r="CE209" s="62"/>
      <c r="CF209" s="62"/>
      <c r="CG209" s="62"/>
    </row>
    <row r="210" spans="1:85" s="5" customFormat="1" ht="64.5" customHeight="1" outlineLevel="1" x14ac:dyDescent="0.25">
      <c r="A210" s="145" t="s">
        <v>239</v>
      </c>
      <c r="B210" s="146"/>
      <c r="C210" s="146"/>
      <c r="D210" s="106"/>
      <c r="E210" s="29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  <c r="AG210" s="106"/>
      <c r="AH210" s="30"/>
      <c r="AI210" s="30"/>
      <c r="AJ210" s="106"/>
      <c r="AK210" s="30"/>
      <c r="AL210" s="106"/>
      <c r="AM210" s="106"/>
      <c r="AN210" s="106"/>
      <c r="AO210" s="106"/>
      <c r="AP210" s="106"/>
      <c r="AQ210" s="33"/>
      <c r="AR210" s="82"/>
      <c r="AS210" s="9"/>
      <c r="AT210" s="9"/>
      <c r="AU210" s="9"/>
      <c r="AV210" s="9"/>
      <c r="AW210" s="9"/>
      <c r="AX210" s="9"/>
    </row>
    <row r="211" spans="1:85" s="4" customFormat="1" ht="64.5" customHeight="1" outlineLevel="1" x14ac:dyDescent="0.25">
      <c r="A211" s="25">
        <f>A209+1</f>
        <v>171</v>
      </c>
      <c r="B211" s="26" t="s">
        <v>256</v>
      </c>
      <c r="C211" s="27" t="s">
        <v>193</v>
      </c>
      <c r="D211" s="28" t="s">
        <v>18</v>
      </c>
      <c r="E211" s="29">
        <f t="shared" si="215"/>
        <v>345.40000000000003</v>
      </c>
      <c r="F211" s="29">
        <f>103.4+38.2</f>
        <v>141.60000000000002</v>
      </c>
      <c r="G211" s="30">
        <f t="shared" si="138"/>
        <v>0</v>
      </c>
      <c r="H211" s="30"/>
      <c r="I211" s="30">
        <f t="shared" si="148"/>
        <v>0</v>
      </c>
      <c r="J211" s="31">
        <v>0</v>
      </c>
      <c r="K211" s="30">
        <f t="shared" si="149"/>
        <v>0</v>
      </c>
      <c r="L211" s="30"/>
      <c r="M211" s="30">
        <f t="shared" si="150"/>
        <v>0</v>
      </c>
      <c r="N211" s="29">
        <v>0</v>
      </c>
      <c r="O211" s="30">
        <f t="shared" si="151"/>
        <v>0</v>
      </c>
      <c r="P211" s="30"/>
      <c r="Q211" s="30">
        <f t="shared" si="152"/>
        <v>0</v>
      </c>
      <c r="R211" s="30">
        <v>0</v>
      </c>
      <c r="S211" s="30">
        <f t="shared" ref="S211:S212" si="218">T211/1.18</f>
        <v>0</v>
      </c>
      <c r="T211" s="30"/>
      <c r="U211" s="30">
        <f t="shared" si="153"/>
        <v>0</v>
      </c>
      <c r="V211" s="29">
        <v>162.69999999999999</v>
      </c>
      <c r="W211" s="30">
        <f t="shared" si="141"/>
        <v>0</v>
      </c>
      <c r="X211" s="30"/>
      <c r="Y211" s="30">
        <f t="shared" si="154"/>
        <v>0</v>
      </c>
      <c r="Z211" s="31">
        <v>41.1</v>
      </c>
      <c r="AA211" s="30">
        <f t="shared" si="142"/>
        <v>0</v>
      </c>
      <c r="AB211" s="58"/>
      <c r="AC211" s="30">
        <f t="shared" si="155"/>
        <v>0</v>
      </c>
      <c r="AD211" s="31">
        <v>0</v>
      </c>
      <c r="AE211" s="30">
        <f t="shared" si="156"/>
        <v>0</v>
      </c>
      <c r="AF211" s="30"/>
      <c r="AG211" s="30">
        <f t="shared" si="157"/>
        <v>0</v>
      </c>
      <c r="AH211" s="30">
        <f t="shared" si="216"/>
        <v>0</v>
      </c>
      <c r="AI211" s="30">
        <f t="shared" si="164"/>
        <v>0</v>
      </c>
      <c r="AJ211" s="31">
        <v>70</v>
      </c>
      <c r="AK211" s="30" t="s">
        <v>314</v>
      </c>
      <c r="AL211" s="32">
        <v>0</v>
      </c>
      <c r="AM211" s="32">
        <f t="shared" si="167"/>
        <v>0</v>
      </c>
      <c r="AN211" s="32"/>
      <c r="AO211" s="32">
        <f t="shared" si="159"/>
        <v>0</v>
      </c>
      <c r="AP211" s="32">
        <f t="shared" si="158"/>
        <v>0</v>
      </c>
      <c r="AQ211" s="33">
        <f t="shared" si="214"/>
        <v>0</v>
      </c>
      <c r="AR211" s="82">
        <f t="shared" si="214"/>
        <v>0</v>
      </c>
      <c r="AS211" s="9"/>
      <c r="AT211" s="9"/>
      <c r="AU211" s="9"/>
      <c r="AV211" s="9"/>
      <c r="AW211" s="65"/>
      <c r="AX211" s="65"/>
      <c r="AY211" s="62"/>
      <c r="AZ211" s="62"/>
      <c r="BA211" s="62"/>
      <c r="BB211" s="62"/>
      <c r="BC211" s="62"/>
      <c r="BD211" s="62"/>
      <c r="BE211" s="62"/>
      <c r="BF211" s="62"/>
      <c r="BG211" s="62"/>
      <c r="BH211" s="62"/>
      <c r="BI211" s="62"/>
      <c r="BJ211" s="62"/>
      <c r="BK211" s="62"/>
      <c r="BL211" s="62"/>
      <c r="BM211" s="62"/>
      <c r="BN211" s="62"/>
      <c r="BO211" s="62"/>
      <c r="BP211" s="62"/>
      <c r="BQ211" s="62"/>
      <c r="BR211" s="62"/>
      <c r="BS211" s="62"/>
      <c r="BT211" s="62"/>
      <c r="BU211" s="62"/>
      <c r="BV211" s="62"/>
      <c r="BW211" s="62"/>
      <c r="BX211" s="62"/>
      <c r="BY211" s="62"/>
      <c r="BZ211" s="62"/>
      <c r="CA211" s="62"/>
      <c r="CB211" s="62"/>
      <c r="CC211" s="62"/>
      <c r="CD211" s="62"/>
      <c r="CE211" s="62"/>
      <c r="CF211" s="62"/>
      <c r="CG211" s="62"/>
    </row>
    <row r="212" spans="1:85" s="4" customFormat="1" ht="64.5" customHeight="1" outlineLevel="1" x14ac:dyDescent="0.25">
      <c r="A212" s="25">
        <f>A211+1</f>
        <v>172</v>
      </c>
      <c r="B212" s="26" t="s">
        <v>256</v>
      </c>
      <c r="C212" s="27" t="s">
        <v>194</v>
      </c>
      <c r="D212" s="28" t="s">
        <v>18</v>
      </c>
      <c r="E212" s="29">
        <f t="shared" si="215"/>
        <v>773.9</v>
      </c>
      <c r="F212" s="29">
        <v>143.30000000000001</v>
      </c>
      <c r="G212" s="30">
        <f t="shared" si="138"/>
        <v>0</v>
      </c>
      <c r="H212" s="30"/>
      <c r="I212" s="30">
        <f t="shared" si="148"/>
        <v>0</v>
      </c>
      <c r="J212" s="31">
        <v>245.8</v>
      </c>
      <c r="K212" s="30">
        <f t="shared" si="149"/>
        <v>0</v>
      </c>
      <c r="L212" s="30"/>
      <c r="M212" s="30">
        <f t="shared" si="150"/>
        <v>0</v>
      </c>
      <c r="N212" s="29">
        <v>39.5</v>
      </c>
      <c r="O212" s="30">
        <f t="shared" si="151"/>
        <v>0</v>
      </c>
      <c r="P212" s="30"/>
      <c r="Q212" s="30">
        <f t="shared" si="152"/>
        <v>0</v>
      </c>
      <c r="R212" s="30">
        <v>156.4</v>
      </c>
      <c r="S212" s="30">
        <f t="shared" si="218"/>
        <v>0</v>
      </c>
      <c r="T212" s="30"/>
      <c r="U212" s="30">
        <f t="shared" si="153"/>
        <v>0</v>
      </c>
      <c r="V212" s="29">
        <v>164.5</v>
      </c>
      <c r="W212" s="30">
        <f t="shared" si="141"/>
        <v>0</v>
      </c>
      <c r="X212" s="30"/>
      <c r="Y212" s="30">
        <f t="shared" si="154"/>
        <v>0</v>
      </c>
      <c r="Z212" s="31">
        <v>0</v>
      </c>
      <c r="AA212" s="30">
        <f t="shared" si="142"/>
        <v>0</v>
      </c>
      <c r="AB212" s="58"/>
      <c r="AC212" s="30">
        <f t="shared" si="155"/>
        <v>0</v>
      </c>
      <c r="AD212" s="31">
        <v>24.4</v>
      </c>
      <c r="AE212" s="30">
        <f t="shared" si="156"/>
        <v>0</v>
      </c>
      <c r="AF212" s="30"/>
      <c r="AG212" s="30">
        <f t="shared" si="157"/>
        <v>0</v>
      </c>
      <c r="AH212" s="30">
        <f t="shared" si="216"/>
        <v>0</v>
      </c>
      <c r="AI212" s="30">
        <f t="shared" si="164"/>
        <v>0</v>
      </c>
      <c r="AJ212" s="31">
        <v>70</v>
      </c>
      <c r="AK212" s="30" t="s">
        <v>314</v>
      </c>
      <c r="AL212" s="32">
        <v>0</v>
      </c>
      <c r="AM212" s="32">
        <f t="shared" si="167"/>
        <v>0</v>
      </c>
      <c r="AN212" s="32"/>
      <c r="AO212" s="32">
        <f t="shared" si="159"/>
        <v>0</v>
      </c>
      <c r="AP212" s="32">
        <f t="shared" si="158"/>
        <v>0</v>
      </c>
      <c r="AQ212" s="33">
        <f t="shared" si="214"/>
        <v>0</v>
      </c>
      <c r="AR212" s="82">
        <f t="shared" si="214"/>
        <v>0</v>
      </c>
      <c r="AS212" s="9"/>
      <c r="AT212" s="9"/>
      <c r="AU212" s="9"/>
      <c r="AV212" s="9"/>
      <c r="AW212" s="65"/>
      <c r="AX212" s="65"/>
      <c r="AY212" s="62"/>
      <c r="AZ212" s="62"/>
      <c r="BA212" s="62"/>
      <c r="BB212" s="62"/>
      <c r="BC212" s="62"/>
      <c r="BD212" s="62"/>
      <c r="BE212" s="62"/>
      <c r="BF212" s="62"/>
      <c r="BG212" s="62"/>
      <c r="BH212" s="62"/>
      <c r="BI212" s="62"/>
      <c r="BJ212" s="62"/>
      <c r="BK212" s="62"/>
      <c r="BL212" s="62"/>
      <c r="BM212" s="62"/>
      <c r="BN212" s="62"/>
      <c r="BO212" s="62"/>
      <c r="BP212" s="62"/>
      <c r="BQ212" s="62"/>
      <c r="BR212" s="62"/>
      <c r="BS212" s="62"/>
      <c r="BT212" s="62"/>
      <c r="BU212" s="62"/>
      <c r="BV212" s="62"/>
      <c r="BW212" s="62"/>
      <c r="BX212" s="62"/>
      <c r="BY212" s="62"/>
      <c r="BZ212" s="62"/>
      <c r="CA212" s="62"/>
      <c r="CB212" s="62"/>
      <c r="CC212" s="62"/>
      <c r="CD212" s="62"/>
      <c r="CE212" s="62"/>
      <c r="CF212" s="62"/>
      <c r="CG212" s="62"/>
    </row>
    <row r="213" spans="1:85" s="4" customFormat="1" ht="64.5" customHeight="1" outlineLevel="1" x14ac:dyDescent="0.25">
      <c r="A213" s="25">
        <f>A212+1</f>
        <v>173</v>
      </c>
      <c r="B213" s="26" t="s">
        <v>256</v>
      </c>
      <c r="C213" s="27" t="s">
        <v>201</v>
      </c>
      <c r="D213" s="28" t="s">
        <v>18</v>
      </c>
      <c r="E213" s="29">
        <f t="shared" si="215"/>
        <v>1020.75</v>
      </c>
      <c r="F213" s="29">
        <v>342.15</v>
      </c>
      <c r="G213" s="30">
        <f t="shared" ref="G213:G257" si="219">H213/1.18</f>
        <v>0</v>
      </c>
      <c r="H213" s="30"/>
      <c r="I213" s="30">
        <f t="shared" si="148"/>
        <v>0</v>
      </c>
      <c r="J213" s="31">
        <v>678.6</v>
      </c>
      <c r="K213" s="30">
        <f t="shared" si="149"/>
        <v>0</v>
      </c>
      <c r="L213" s="30"/>
      <c r="M213" s="30">
        <f t="shared" si="150"/>
        <v>0</v>
      </c>
      <c r="N213" s="29">
        <v>0</v>
      </c>
      <c r="O213" s="30">
        <f t="shared" si="151"/>
        <v>0</v>
      </c>
      <c r="P213" s="30"/>
      <c r="Q213" s="30">
        <f t="shared" si="152"/>
        <v>0</v>
      </c>
      <c r="R213" s="30">
        <v>0</v>
      </c>
      <c r="S213" s="30">
        <f t="shared" ref="S213" si="220">T213/1.18</f>
        <v>0</v>
      </c>
      <c r="T213" s="30"/>
      <c r="U213" s="30">
        <f t="shared" si="153"/>
        <v>0</v>
      </c>
      <c r="V213" s="29">
        <v>0</v>
      </c>
      <c r="W213" s="30">
        <f t="shared" ref="W213:W257" si="221">X213/1.18</f>
        <v>0</v>
      </c>
      <c r="X213" s="30"/>
      <c r="Y213" s="30">
        <f t="shared" si="154"/>
        <v>0</v>
      </c>
      <c r="Z213" s="31">
        <v>0</v>
      </c>
      <c r="AA213" s="30">
        <f t="shared" ref="AA213:AA257" si="222">AB213/1.18</f>
        <v>0</v>
      </c>
      <c r="AB213" s="58"/>
      <c r="AC213" s="30">
        <f t="shared" si="155"/>
        <v>0</v>
      </c>
      <c r="AD213" s="31">
        <v>0</v>
      </c>
      <c r="AE213" s="30">
        <f t="shared" si="156"/>
        <v>0</v>
      </c>
      <c r="AF213" s="30"/>
      <c r="AG213" s="30">
        <f t="shared" si="157"/>
        <v>0</v>
      </c>
      <c r="AH213" s="30">
        <f t="shared" si="216"/>
        <v>0</v>
      </c>
      <c r="AI213" s="30">
        <f t="shared" si="164"/>
        <v>0</v>
      </c>
      <c r="AJ213" s="31">
        <v>420</v>
      </c>
      <c r="AK213" s="30" t="s">
        <v>314</v>
      </c>
      <c r="AL213" s="32">
        <v>0</v>
      </c>
      <c r="AM213" s="32">
        <f t="shared" ref="AM213" si="223">AN213/1.18</f>
        <v>0</v>
      </c>
      <c r="AN213" s="32"/>
      <c r="AO213" s="32">
        <f t="shared" si="159"/>
        <v>0</v>
      </c>
      <c r="AP213" s="32">
        <f t="shared" si="158"/>
        <v>0</v>
      </c>
      <c r="AQ213" s="33">
        <f t="shared" si="214"/>
        <v>0</v>
      </c>
      <c r="AR213" s="82">
        <f t="shared" si="214"/>
        <v>0</v>
      </c>
      <c r="AS213" s="9"/>
      <c r="AT213" s="9"/>
      <c r="AU213" s="9"/>
      <c r="AV213" s="9"/>
      <c r="AW213" s="65"/>
      <c r="AX213" s="65"/>
      <c r="AY213" s="62"/>
      <c r="AZ213" s="62"/>
      <c r="BA213" s="62"/>
      <c r="BB213" s="62"/>
      <c r="BC213" s="62"/>
      <c r="BD213" s="62"/>
      <c r="BE213" s="62"/>
      <c r="BF213" s="62"/>
      <c r="BG213" s="62"/>
      <c r="BH213" s="62"/>
      <c r="BI213" s="62"/>
      <c r="BJ213" s="62"/>
      <c r="BK213" s="62"/>
      <c r="BL213" s="62"/>
      <c r="BM213" s="62"/>
      <c r="BN213" s="62"/>
      <c r="BO213" s="62"/>
      <c r="BP213" s="62"/>
      <c r="BQ213" s="62"/>
      <c r="BR213" s="62"/>
      <c r="BS213" s="62"/>
      <c r="BT213" s="62"/>
      <c r="BU213" s="62"/>
      <c r="BV213" s="62"/>
      <c r="BW213" s="62"/>
      <c r="BX213" s="62"/>
      <c r="BY213" s="62"/>
      <c r="BZ213" s="62"/>
      <c r="CA213" s="62"/>
      <c r="CB213" s="62"/>
      <c r="CC213" s="62"/>
      <c r="CD213" s="62"/>
      <c r="CE213" s="62"/>
      <c r="CF213" s="62"/>
      <c r="CG213" s="62"/>
    </row>
    <row r="214" spans="1:85" s="43" customFormat="1" ht="64.5" customHeight="1" outlineLevel="1" x14ac:dyDescent="0.3">
      <c r="A214" s="143" t="s">
        <v>298</v>
      </c>
      <c r="B214" s="144"/>
      <c r="C214" s="144"/>
      <c r="D214" s="101"/>
      <c r="E214" s="29"/>
      <c r="F214" s="101"/>
      <c r="G214" s="101"/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  <c r="AC214" s="101"/>
      <c r="AD214" s="101"/>
      <c r="AE214" s="101"/>
      <c r="AF214" s="101"/>
      <c r="AG214" s="101"/>
      <c r="AH214" s="30"/>
      <c r="AI214" s="30"/>
      <c r="AJ214" s="101"/>
      <c r="AK214" s="30"/>
      <c r="AL214" s="101"/>
      <c r="AM214" s="101"/>
      <c r="AN214" s="101"/>
      <c r="AO214" s="101"/>
      <c r="AP214" s="101"/>
      <c r="AQ214" s="111"/>
      <c r="AR214" s="126"/>
      <c r="AS214" s="42"/>
      <c r="AT214" s="42"/>
      <c r="AU214" s="42"/>
      <c r="AV214" s="42"/>
      <c r="AW214" s="42"/>
      <c r="AX214" s="42"/>
    </row>
    <row r="215" spans="1:85" s="4" customFormat="1" ht="64.5" customHeight="1" outlineLevel="1" x14ac:dyDescent="0.25">
      <c r="A215" s="25">
        <f>A213+1</f>
        <v>174</v>
      </c>
      <c r="B215" s="26" t="s">
        <v>303</v>
      </c>
      <c r="C215" s="27" t="s">
        <v>302</v>
      </c>
      <c r="D215" s="28"/>
      <c r="E215" s="29">
        <f t="shared" si="215"/>
        <v>145.1</v>
      </c>
      <c r="F215" s="29">
        <f>21+11.9+30.8+49.8</f>
        <v>113.5</v>
      </c>
      <c r="G215" s="30">
        <f t="shared" si="219"/>
        <v>0</v>
      </c>
      <c r="H215" s="30"/>
      <c r="I215" s="30">
        <f t="shared" ref="I215:I257" si="224">H215*F215</f>
        <v>0</v>
      </c>
      <c r="J215" s="31">
        <v>0</v>
      </c>
      <c r="K215" s="30">
        <f t="shared" ref="K215:K257" si="225">L215/1.18</f>
        <v>0</v>
      </c>
      <c r="L215" s="30"/>
      <c r="M215" s="30">
        <f t="shared" ref="M215:M257" si="226">L215*J215</f>
        <v>0</v>
      </c>
      <c r="N215" s="29">
        <v>0</v>
      </c>
      <c r="O215" s="30">
        <f t="shared" ref="O215:O257" si="227">P215/1.18</f>
        <v>0</v>
      </c>
      <c r="P215" s="30"/>
      <c r="Q215" s="30">
        <f t="shared" ref="Q215:Q257" si="228">P215*N215</f>
        <v>0</v>
      </c>
      <c r="R215" s="30">
        <v>0</v>
      </c>
      <c r="S215" s="30">
        <f t="shared" ref="S215:S218" si="229">T215/1.18</f>
        <v>0</v>
      </c>
      <c r="T215" s="30"/>
      <c r="U215" s="30">
        <f t="shared" ref="U215:U257" si="230">T215*R215</f>
        <v>0</v>
      </c>
      <c r="V215" s="29">
        <f>26.9</f>
        <v>26.9</v>
      </c>
      <c r="W215" s="30">
        <f t="shared" si="221"/>
        <v>0</v>
      </c>
      <c r="X215" s="30"/>
      <c r="Y215" s="30">
        <f t="shared" ref="Y215:Y253" si="231">X215*V215</f>
        <v>0</v>
      </c>
      <c r="Z215" s="31">
        <v>0</v>
      </c>
      <c r="AA215" s="30">
        <f t="shared" si="222"/>
        <v>0</v>
      </c>
      <c r="AB215" s="58"/>
      <c r="AC215" s="30">
        <f t="shared" ref="AC215:AC257" si="232">AB215*Z215</f>
        <v>0</v>
      </c>
      <c r="AD215" s="31">
        <f>2.9+1.8</f>
        <v>4.7</v>
      </c>
      <c r="AE215" s="30">
        <f t="shared" ref="AE215:AE257" si="233">AF215/1.18</f>
        <v>0</v>
      </c>
      <c r="AF215" s="30"/>
      <c r="AG215" s="30">
        <f t="shared" ref="AG215:AG257" si="234">AF215*AD215</f>
        <v>0</v>
      </c>
      <c r="AH215" s="30">
        <f t="shared" si="216"/>
        <v>0</v>
      </c>
      <c r="AI215" s="30">
        <f t="shared" si="164"/>
        <v>0</v>
      </c>
      <c r="AJ215" s="31">
        <v>0</v>
      </c>
      <c r="AK215" s="30" t="s">
        <v>314</v>
      </c>
      <c r="AL215" s="32">
        <v>0</v>
      </c>
      <c r="AM215" s="32">
        <f t="shared" ref="AM215:AM254" si="235">AN215/1.18</f>
        <v>0</v>
      </c>
      <c r="AN215" s="32"/>
      <c r="AO215" s="32">
        <f t="shared" ref="AO215:AO254" si="236">AM215*AJ215</f>
        <v>0</v>
      </c>
      <c r="AP215" s="32">
        <f t="shared" ref="AP215:AP218" si="237">AN215*AJ215</f>
        <v>0</v>
      </c>
      <c r="AQ215" s="33">
        <f t="shared" si="214"/>
        <v>0</v>
      </c>
      <c r="AR215" s="82">
        <f t="shared" si="214"/>
        <v>0</v>
      </c>
      <c r="AS215" s="9"/>
      <c r="AT215" s="9"/>
      <c r="AU215" s="9"/>
      <c r="AV215" s="9"/>
      <c r="AW215" s="65"/>
      <c r="AX215" s="65"/>
      <c r="AY215" s="62"/>
      <c r="AZ215" s="62"/>
      <c r="BA215" s="62"/>
      <c r="BB215" s="62"/>
      <c r="BC215" s="62"/>
      <c r="BD215" s="62"/>
      <c r="BE215" s="62"/>
      <c r="BF215" s="62"/>
      <c r="BG215" s="62"/>
      <c r="BH215" s="62"/>
      <c r="BI215" s="62"/>
      <c r="BJ215" s="62"/>
      <c r="BK215" s="62"/>
      <c r="BL215" s="62"/>
      <c r="BM215" s="62"/>
      <c r="BN215" s="62"/>
      <c r="BO215" s="62"/>
      <c r="BP215" s="62"/>
      <c r="BQ215" s="62"/>
      <c r="BR215" s="62"/>
      <c r="BS215" s="62"/>
      <c r="BT215" s="62"/>
      <c r="BU215" s="62"/>
      <c r="BV215" s="62"/>
      <c r="BW215" s="62"/>
      <c r="BX215" s="62"/>
      <c r="BY215" s="62"/>
      <c r="BZ215" s="62"/>
      <c r="CA215" s="62"/>
      <c r="CB215" s="62"/>
      <c r="CC215" s="62"/>
      <c r="CD215" s="62"/>
      <c r="CE215" s="62"/>
      <c r="CF215" s="62"/>
      <c r="CG215" s="62"/>
    </row>
    <row r="216" spans="1:85" s="4" customFormat="1" ht="64.5" customHeight="1" outlineLevel="1" x14ac:dyDescent="0.25">
      <c r="A216" s="25">
        <f>A215+1</f>
        <v>175</v>
      </c>
      <c r="B216" s="26" t="s">
        <v>304</v>
      </c>
      <c r="C216" s="27" t="s">
        <v>306</v>
      </c>
      <c r="D216" s="28"/>
      <c r="E216" s="29">
        <f t="shared" si="215"/>
        <v>128.47999999999999</v>
      </c>
      <c r="F216" s="29">
        <f>38.4</f>
        <v>38.4</v>
      </c>
      <c r="G216" s="30">
        <f t="shared" si="219"/>
        <v>0</v>
      </c>
      <c r="H216" s="30"/>
      <c r="I216" s="30">
        <f t="shared" si="224"/>
        <v>0</v>
      </c>
      <c r="J216" s="31">
        <f>18.5</f>
        <v>18.5</v>
      </c>
      <c r="K216" s="30">
        <f t="shared" si="225"/>
        <v>0</v>
      </c>
      <c r="L216" s="30"/>
      <c r="M216" s="30">
        <f t="shared" si="226"/>
        <v>0</v>
      </c>
      <c r="N216" s="29">
        <v>0</v>
      </c>
      <c r="O216" s="30">
        <f t="shared" si="227"/>
        <v>0</v>
      </c>
      <c r="P216" s="30"/>
      <c r="Q216" s="30">
        <f t="shared" si="228"/>
        <v>0</v>
      </c>
      <c r="R216" s="30">
        <v>15.05</v>
      </c>
      <c r="S216" s="30">
        <f t="shared" si="229"/>
        <v>0</v>
      </c>
      <c r="T216" s="30"/>
      <c r="U216" s="30">
        <f t="shared" si="230"/>
        <v>0</v>
      </c>
      <c r="V216" s="29">
        <f>8.1+9.3+14.85+6.75+3.45+11.55</f>
        <v>54</v>
      </c>
      <c r="W216" s="30">
        <f t="shared" si="221"/>
        <v>0</v>
      </c>
      <c r="X216" s="30"/>
      <c r="Y216" s="30">
        <f t="shared" si="231"/>
        <v>0</v>
      </c>
      <c r="Z216" s="31">
        <v>0</v>
      </c>
      <c r="AA216" s="30">
        <f t="shared" si="222"/>
        <v>0</v>
      </c>
      <c r="AB216" s="58"/>
      <c r="AC216" s="30">
        <f t="shared" si="232"/>
        <v>0</v>
      </c>
      <c r="AD216" s="31">
        <v>2.5299999999999998</v>
      </c>
      <c r="AE216" s="30">
        <f t="shared" si="233"/>
        <v>0</v>
      </c>
      <c r="AF216" s="30"/>
      <c r="AG216" s="30">
        <f t="shared" si="234"/>
        <v>0</v>
      </c>
      <c r="AH216" s="30">
        <f t="shared" si="216"/>
        <v>0</v>
      </c>
      <c r="AI216" s="30">
        <f t="shared" si="164"/>
        <v>0</v>
      </c>
      <c r="AJ216" s="31">
        <v>0</v>
      </c>
      <c r="AK216" s="30" t="s">
        <v>314</v>
      </c>
      <c r="AL216" s="32">
        <v>0</v>
      </c>
      <c r="AM216" s="32">
        <f t="shared" si="235"/>
        <v>0</v>
      </c>
      <c r="AN216" s="32"/>
      <c r="AO216" s="32">
        <f t="shared" si="236"/>
        <v>0</v>
      </c>
      <c r="AP216" s="32">
        <f t="shared" si="237"/>
        <v>0</v>
      </c>
      <c r="AQ216" s="33">
        <f t="shared" si="214"/>
        <v>0</v>
      </c>
      <c r="AR216" s="82">
        <f t="shared" si="214"/>
        <v>0</v>
      </c>
      <c r="AS216" s="9"/>
      <c r="AT216" s="9"/>
      <c r="AU216" s="9"/>
      <c r="AV216" s="9"/>
      <c r="AW216" s="65"/>
      <c r="AX216" s="65"/>
      <c r="AY216" s="62"/>
      <c r="AZ216" s="62"/>
      <c r="BA216" s="62"/>
      <c r="BB216" s="62"/>
      <c r="BC216" s="62"/>
      <c r="BD216" s="62"/>
      <c r="BE216" s="62"/>
      <c r="BF216" s="62"/>
      <c r="BG216" s="62"/>
      <c r="BH216" s="62"/>
      <c r="BI216" s="62"/>
      <c r="BJ216" s="62"/>
      <c r="BK216" s="62"/>
      <c r="BL216" s="62"/>
      <c r="BM216" s="62"/>
      <c r="BN216" s="62"/>
      <c r="BO216" s="62"/>
      <c r="BP216" s="62"/>
      <c r="BQ216" s="62"/>
      <c r="BR216" s="62"/>
      <c r="BS216" s="62"/>
      <c r="BT216" s="62"/>
      <c r="BU216" s="62"/>
      <c r="BV216" s="62"/>
      <c r="BW216" s="62"/>
      <c r="BX216" s="62"/>
      <c r="BY216" s="62"/>
      <c r="BZ216" s="62"/>
      <c r="CA216" s="62"/>
      <c r="CB216" s="62"/>
      <c r="CC216" s="62"/>
      <c r="CD216" s="62"/>
      <c r="CE216" s="62"/>
      <c r="CF216" s="62"/>
      <c r="CG216" s="62"/>
    </row>
    <row r="217" spans="1:85" s="4" customFormat="1" ht="64.5" customHeight="1" outlineLevel="1" x14ac:dyDescent="0.25">
      <c r="A217" s="25">
        <f t="shared" ref="A217:A218" si="238">A216+1</f>
        <v>176</v>
      </c>
      <c r="B217" s="26" t="s">
        <v>305</v>
      </c>
      <c r="C217" s="27" t="s">
        <v>307</v>
      </c>
      <c r="D217" s="28"/>
      <c r="E217" s="29">
        <f t="shared" si="215"/>
        <v>17</v>
      </c>
      <c r="F217" s="29">
        <v>0</v>
      </c>
      <c r="G217" s="30">
        <f t="shared" si="219"/>
        <v>0</v>
      </c>
      <c r="H217" s="30"/>
      <c r="I217" s="30">
        <f t="shared" si="224"/>
        <v>0</v>
      </c>
      <c r="J217" s="31">
        <v>17</v>
      </c>
      <c r="K217" s="30">
        <f t="shared" si="225"/>
        <v>0</v>
      </c>
      <c r="L217" s="30"/>
      <c r="M217" s="30">
        <f t="shared" si="226"/>
        <v>0</v>
      </c>
      <c r="N217" s="29">
        <v>0</v>
      </c>
      <c r="O217" s="30">
        <f t="shared" si="227"/>
        <v>0</v>
      </c>
      <c r="P217" s="30"/>
      <c r="Q217" s="30">
        <f t="shared" si="228"/>
        <v>0</v>
      </c>
      <c r="R217" s="30">
        <v>0</v>
      </c>
      <c r="S217" s="30">
        <f t="shared" si="229"/>
        <v>0</v>
      </c>
      <c r="T217" s="30"/>
      <c r="U217" s="30">
        <f t="shared" si="230"/>
        <v>0</v>
      </c>
      <c r="V217" s="29">
        <v>0</v>
      </c>
      <c r="W217" s="30">
        <f t="shared" si="221"/>
        <v>0</v>
      </c>
      <c r="X217" s="30"/>
      <c r="Y217" s="30">
        <f t="shared" si="231"/>
        <v>0</v>
      </c>
      <c r="Z217" s="31">
        <v>0</v>
      </c>
      <c r="AA217" s="30">
        <f t="shared" si="222"/>
        <v>0</v>
      </c>
      <c r="AB217" s="58"/>
      <c r="AC217" s="30">
        <f t="shared" si="232"/>
        <v>0</v>
      </c>
      <c r="AD217" s="31">
        <v>0</v>
      </c>
      <c r="AE217" s="30">
        <f t="shared" si="233"/>
        <v>0</v>
      </c>
      <c r="AF217" s="30"/>
      <c r="AG217" s="30">
        <f t="shared" si="234"/>
        <v>0</v>
      </c>
      <c r="AH217" s="30">
        <f t="shared" si="216"/>
        <v>0</v>
      </c>
      <c r="AI217" s="30">
        <f t="shared" si="164"/>
        <v>0</v>
      </c>
      <c r="AJ217" s="31">
        <v>0</v>
      </c>
      <c r="AK217" s="30" t="s">
        <v>314</v>
      </c>
      <c r="AL217" s="32">
        <v>0</v>
      </c>
      <c r="AM217" s="32">
        <f t="shared" si="235"/>
        <v>0</v>
      </c>
      <c r="AN217" s="32"/>
      <c r="AO217" s="32">
        <f t="shared" si="236"/>
        <v>0</v>
      </c>
      <c r="AP217" s="32">
        <f t="shared" si="237"/>
        <v>0</v>
      </c>
      <c r="AQ217" s="33">
        <f t="shared" si="214"/>
        <v>0</v>
      </c>
      <c r="AR217" s="82">
        <f t="shared" si="214"/>
        <v>0</v>
      </c>
      <c r="AS217" s="9"/>
      <c r="AT217" s="9"/>
      <c r="AU217" s="9"/>
      <c r="AV217" s="9"/>
      <c r="AW217" s="65"/>
      <c r="AX217" s="65"/>
      <c r="AY217" s="62"/>
      <c r="AZ217" s="62"/>
      <c r="BA217" s="62"/>
      <c r="BB217" s="62"/>
      <c r="BC217" s="62"/>
      <c r="BD217" s="62"/>
      <c r="BE217" s="62"/>
      <c r="BF217" s="62"/>
      <c r="BG217" s="62"/>
      <c r="BH217" s="62"/>
      <c r="BI217" s="62"/>
      <c r="BJ217" s="62"/>
      <c r="BK217" s="62"/>
      <c r="BL217" s="62"/>
      <c r="BM217" s="62"/>
      <c r="BN217" s="62"/>
      <c r="BO217" s="62"/>
      <c r="BP217" s="62"/>
      <c r="BQ217" s="62"/>
      <c r="BR217" s="62"/>
      <c r="BS217" s="62"/>
      <c r="BT217" s="62"/>
      <c r="BU217" s="62"/>
      <c r="BV217" s="62"/>
      <c r="BW217" s="62"/>
      <c r="BX217" s="62"/>
      <c r="BY217" s="62"/>
      <c r="BZ217" s="62"/>
      <c r="CA217" s="62"/>
      <c r="CB217" s="62"/>
      <c r="CC217" s="62"/>
      <c r="CD217" s="62"/>
      <c r="CE217" s="62"/>
      <c r="CF217" s="62"/>
      <c r="CG217" s="62"/>
    </row>
    <row r="218" spans="1:85" s="4" customFormat="1" ht="64.5" customHeight="1" outlineLevel="1" x14ac:dyDescent="0.25">
      <c r="A218" s="25">
        <f t="shared" si="238"/>
        <v>177</v>
      </c>
      <c r="B218" s="26" t="s">
        <v>305</v>
      </c>
      <c r="C218" s="27" t="s">
        <v>308</v>
      </c>
      <c r="D218" s="28"/>
      <c r="E218" s="29">
        <f t="shared" si="215"/>
        <v>22</v>
      </c>
      <c r="F218" s="29">
        <v>0</v>
      </c>
      <c r="G218" s="30">
        <f t="shared" si="219"/>
        <v>0</v>
      </c>
      <c r="H218" s="30"/>
      <c r="I218" s="30">
        <f t="shared" si="224"/>
        <v>0</v>
      </c>
      <c r="J218" s="31">
        <v>22</v>
      </c>
      <c r="K218" s="30">
        <f t="shared" si="225"/>
        <v>0</v>
      </c>
      <c r="L218" s="30"/>
      <c r="M218" s="30">
        <f t="shared" si="226"/>
        <v>0</v>
      </c>
      <c r="N218" s="29">
        <v>0</v>
      </c>
      <c r="O218" s="30">
        <f t="shared" si="227"/>
        <v>0</v>
      </c>
      <c r="P218" s="30"/>
      <c r="Q218" s="30">
        <f t="shared" si="228"/>
        <v>0</v>
      </c>
      <c r="R218" s="30">
        <v>0</v>
      </c>
      <c r="S218" s="30">
        <f t="shared" si="229"/>
        <v>0</v>
      </c>
      <c r="T218" s="30"/>
      <c r="U218" s="30">
        <f t="shared" si="230"/>
        <v>0</v>
      </c>
      <c r="V218" s="29">
        <v>0</v>
      </c>
      <c r="W218" s="30">
        <f t="shared" si="221"/>
        <v>0</v>
      </c>
      <c r="X218" s="30"/>
      <c r="Y218" s="30">
        <f t="shared" si="231"/>
        <v>0</v>
      </c>
      <c r="Z218" s="31">
        <v>0</v>
      </c>
      <c r="AA218" s="30">
        <f t="shared" si="222"/>
        <v>0</v>
      </c>
      <c r="AB218" s="58"/>
      <c r="AC218" s="30">
        <f t="shared" si="232"/>
        <v>0</v>
      </c>
      <c r="AD218" s="31">
        <v>0</v>
      </c>
      <c r="AE218" s="30">
        <f t="shared" si="233"/>
        <v>0</v>
      </c>
      <c r="AF218" s="30"/>
      <c r="AG218" s="30">
        <f t="shared" si="234"/>
        <v>0</v>
      </c>
      <c r="AH218" s="30">
        <f t="shared" si="216"/>
        <v>0</v>
      </c>
      <c r="AI218" s="30">
        <f t="shared" si="164"/>
        <v>0</v>
      </c>
      <c r="AJ218" s="31">
        <v>0</v>
      </c>
      <c r="AK218" s="30" t="s">
        <v>314</v>
      </c>
      <c r="AL218" s="32">
        <v>0</v>
      </c>
      <c r="AM218" s="32">
        <f t="shared" si="235"/>
        <v>0</v>
      </c>
      <c r="AN218" s="32"/>
      <c r="AO218" s="32">
        <f t="shared" si="236"/>
        <v>0</v>
      </c>
      <c r="AP218" s="32">
        <f t="shared" si="237"/>
        <v>0</v>
      </c>
      <c r="AQ218" s="33">
        <f t="shared" si="214"/>
        <v>0</v>
      </c>
      <c r="AR218" s="82">
        <f t="shared" si="214"/>
        <v>0</v>
      </c>
      <c r="AS218" s="9"/>
      <c r="AT218" s="9"/>
      <c r="AU218" s="9"/>
      <c r="AV218" s="9"/>
      <c r="AW218" s="65"/>
      <c r="AX218" s="65"/>
      <c r="AY218" s="62"/>
      <c r="AZ218" s="62"/>
      <c r="BA218" s="62"/>
      <c r="BB218" s="62"/>
      <c r="BC218" s="62"/>
      <c r="BD218" s="62"/>
      <c r="BE218" s="62"/>
      <c r="BF218" s="62"/>
      <c r="BG218" s="62"/>
      <c r="BH218" s="62"/>
      <c r="BI218" s="62"/>
      <c r="BJ218" s="62"/>
      <c r="BK218" s="62"/>
      <c r="BL218" s="62"/>
      <c r="BM218" s="62"/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X218" s="62"/>
      <c r="BY218" s="62"/>
      <c r="BZ218" s="62"/>
      <c r="CA218" s="62"/>
      <c r="CB218" s="62"/>
      <c r="CC218" s="62"/>
      <c r="CD218" s="62"/>
      <c r="CE218" s="62"/>
      <c r="CF218" s="62"/>
      <c r="CG218" s="62"/>
    </row>
    <row r="219" spans="1:85" s="4" customFormat="1" ht="64.5" customHeight="1" outlineLevel="1" x14ac:dyDescent="0.25">
      <c r="A219" s="25">
        <f>A218+1</f>
        <v>178</v>
      </c>
      <c r="B219" s="26" t="s">
        <v>50</v>
      </c>
      <c r="C219" s="27" t="s">
        <v>51</v>
      </c>
      <c r="D219" s="28" t="s">
        <v>18</v>
      </c>
      <c r="E219" s="29">
        <f t="shared" si="215"/>
        <v>378.6</v>
      </c>
      <c r="F219" s="29">
        <v>378.6</v>
      </c>
      <c r="G219" s="30">
        <f>H219/1.18</f>
        <v>0</v>
      </c>
      <c r="H219" s="30"/>
      <c r="I219" s="30">
        <f>H219*F219</f>
        <v>0</v>
      </c>
      <c r="J219" s="31">
        <v>0</v>
      </c>
      <c r="K219" s="30">
        <f>L219/1.18</f>
        <v>0</v>
      </c>
      <c r="L219" s="30"/>
      <c r="M219" s="30">
        <f>L219*J219</f>
        <v>0</v>
      </c>
      <c r="N219" s="29">
        <v>0</v>
      </c>
      <c r="O219" s="30">
        <f>P219/1.18</f>
        <v>0</v>
      </c>
      <c r="P219" s="30"/>
      <c r="Q219" s="30">
        <f>P219*N219</f>
        <v>0</v>
      </c>
      <c r="R219" s="30">
        <v>0</v>
      </c>
      <c r="S219" s="30">
        <v>4.2</v>
      </c>
      <c r="T219" s="30"/>
      <c r="U219" s="30">
        <f>T219*R219</f>
        <v>0</v>
      </c>
      <c r="V219" s="29">
        <v>0</v>
      </c>
      <c r="W219" s="30">
        <f>X219/1.18</f>
        <v>0</v>
      </c>
      <c r="X219" s="30"/>
      <c r="Y219" s="30">
        <f>X219*V219</f>
        <v>0</v>
      </c>
      <c r="Z219" s="31">
        <v>0</v>
      </c>
      <c r="AA219" s="30">
        <f>AB219/1.18</f>
        <v>0</v>
      </c>
      <c r="AB219" s="58"/>
      <c r="AC219" s="30">
        <f>AB219*Z219</f>
        <v>0</v>
      </c>
      <c r="AD219" s="31">
        <v>0</v>
      </c>
      <c r="AE219" s="30">
        <f>AF219/1.18</f>
        <v>0</v>
      </c>
      <c r="AF219" s="30"/>
      <c r="AG219" s="30">
        <f>AF219*AD219</f>
        <v>0</v>
      </c>
      <c r="AH219" s="30">
        <f t="shared" si="216"/>
        <v>0</v>
      </c>
      <c r="AI219" s="30">
        <f t="shared" si="164"/>
        <v>0</v>
      </c>
      <c r="AJ219" s="31">
        <v>0</v>
      </c>
      <c r="AK219" s="30" t="s">
        <v>314</v>
      </c>
      <c r="AL219" s="32">
        <v>0</v>
      </c>
      <c r="AM219" s="32">
        <f>AN219/1.18</f>
        <v>0</v>
      </c>
      <c r="AN219" s="32"/>
      <c r="AO219" s="32">
        <f>AM219*AJ219</f>
        <v>0</v>
      </c>
      <c r="AP219" s="32">
        <f>AN219*AJ219</f>
        <v>0</v>
      </c>
      <c r="AQ219" s="33">
        <f>AH219+AO219</f>
        <v>0</v>
      </c>
      <c r="AR219" s="82">
        <f>AI219+AP219</f>
        <v>0</v>
      </c>
      <c r="AS219" s="9"/>
      <c r="AT219" s="9"/>
      <c r="AU219" s="9"/>
      <c r="AV219" s="9"/>
      <c r="AW219" s="65"/>
      <c r="AX219" s="65"/>
      <c r="AY219" s="62"/>
      <c r="AZ219" s="62"/>
      <c r="BA219" s="62"/>
      <c r="BB219" s="62"/>
      <c r="BC219" s="62"/>
      <c r="BD219" s="62"/>
      <c r="BE219" s="62"/>
      <c r="BF219" s="62"/>
      <c r="BG219" s="62"/>
      <c r="BH219" s="62"/>
      <c r="BI219" s="62"/>
      <c r="BJ219" s="62"/>
      <c r="BK219" s="62"/>
      <c r="BL219" s="62"/>
      <c r="BM219" s="62"/>
      <c r="BN219" s="62"/>
      <c r="BO219" s="62"/>
      <c r="BP219" s="62"/>
      <c r="BQ219" s="62"/>
      <c r="BR219" s="62"/>
      <c r="BS219" s="62"/>
      <c r="BT219" s="62"/>
      <c r="BU219" s="62"/>
      <c r="BV219" s="62"/>
      <c r="BW219" s="62"/>
      <c r="BX219" s="62"/>
      <c r="BY219" s="62"/>
      <c r="BZ219" s="62"/>
      <c r="CA219" s="62"/>
      <c r="CB219" s="62"/>
      <c r="CC219" s="62"/>
      <c r="CD219" s="62"/>
      <c r="CE219" s="62"/>
      <c r="CF219" s="62"/>
      <c r="CG219" s="62"/>
    </row>
    <row r="220" spans="1:85" s="4" customFormat="1" ht="64.5" customHeight="1" outlineLevel="1" x14ac:dyDescent="0.25">
      <c r="A220" s="25">
        <f>A219+1</f>
        <v>179</v>
      </c>
      <c r="B220" s="26" t="s">
        <v>301</v>
      </c>
      <c r="C220" s="27" t="s">
        <v>243</v>
      </c>
      <c r="D220" s="28" t="s">
        <v>18</v>
      </c>
      <c r="E220" s="29">
        <f t="shared" si="215"/>
        <v>889</v>
      </c>
      <c r="F220" s="29">
        <v>41.6</v>
      </c>
      <c r="G220" s="30">
        <f t="shared" si="219"/>
        <v>0</v>
      </c>
      <c r="H220" s="30"/>
      <c r="I220" s="30">
        <f t="shared" si="224"/>
        <v>0</v>
      </c>
      <c r="J220" s="31">
        <v>581</v>
      </c>
      <c r="K220" s="30">
        <f t="shared" si="225"/>
        <v>0</v>
      </c>
      <c r="L220" s="30"/>
      <c r="M220" s="30">
        <f t="shared" si="226"/>
        <v>0</v>
      </c>
      <c r="N220" s="29">
        <v>0</v>
      </c>
      <c r="O220" s="30">
        <f t="shared" si="227"/>
        <v>0</v>
      </c>
      <c r="P220" s="30"/>
      <c r="Q220" s="30">
        <f t="shared" si="228"/>
        <v>0</v>
      </c>
      <c r="R220" s="30">
        <v>83.3</v>
      </c>
      <c r="S220" s="30">
        <f t="shared" ref="S220:S222" si="239">T220/1.18</f>
        <v>0</v>
      </c>
      <c r="T220" s="30"/>
      <c r="U220" s="30">
        <f t="shared" si="230"/>
        <v>0</v>
      </c>
      <c r="V220" s="29">
        <v>154.30000000000001</v>
      </c>
      <c r="W220" s="30">
        <f t="shared" si="221"/>
        <v>0</v>
      </c>
      <c r="X220" s="30"/>
      <c r="Y220" s="30">
        <f t="shared" si="231"/>
        <v>0</v>
      </c>
      <c r="Z220" s="31">
        <v>27.3</v>
      </c>
      <c r="AA220" s="30">
        <f t="shared" si="222"/>
        <v>0</v>
      </c>
      <c r="AB220" s="58"/>
      <c r="AC220" s="30">
        <f t="shared" si="232"/>
        <v>0</v>
      </c>
      <c r="AD220" s="31">
        <v>1.5</v>
      </c>
      <c r="AE220" s="30">
        <f t="shared" si="233"/>
        <v>0</v>
      </c>
      <c r="AF220" s="30"/>
      <c r="AG220" s="30">
        <f t="shared" si="234"/>
        <v>0</v>
      </c>
      <c r="AH220" s="30">
        <f t="shared" si="216"/>
        <v>0</v>
      </c>
      <c r="AI220" s="30">
        <f t="shared" si="164"/>
        <v>0</v>
      </c>
      <c r="AJ220" s="31">
        <v>0</v>
      </c>
      <c r="AK220" s="30" t="s">
        <v>314</v>
      </c>
      <c r="AL220" s="32">
        <v>0</v>
      </c>
      <c r="AM220" s="32">
        <f t="shared" si="235"/>
        <v>0</v>
      </c>
      <c r="AN220" s="32"/>
      <c r="AO220" s="32">
        <f t="shared" si="236"/>
        <v>0</v>
      </c>
      <c r="AP220" s="32">
        <f t="shared" ref="AP220:AP253" si="240">AN220*AJ220</f>
        <v>0</v>
      </c>
      <c r="AQ220" s="33">
        <f t="shared" si="214"/>
        <v>0</v>
      </c>
      <c r="AR220" s="82">
        <f t="shared" si="214"/>
        <v>0</v>
      </c>
      <c r="AS220" s="9"/>
      <c r="AT220" s="9"/>
      <c r="AU220" s="9"/>
      <c r="AV220" s="9"/>
      <c r="AW220" s="65"/>
      <c r="AX220" s="65"/>
      <c r="AY220" s="62"/>
      <c r="AZ220" s="62"/>
      <c r="BA220" s="62"/>
      <c r="BB220" s="62"/>
      <c r="BC220" s="62"/>
      <c r="BD220" s="62"/>
      <c r="BE220" s="62"/>
      <c r="BF220" s="62"/>
      <c r="BG220" s="62"/>
      <c r="BH220" s="62"/>
      <c r="BI220" s="62"/>
      <c r="BJ220" s="62"/>
      <c r="BK220" s="62"/>
      <c r="BL220" s="62"/>
      <c r="BM220" s="62"/>
      <c r="BN220" s="62"/>
      <c r="BO220" s="62"/>
      <c r="BP220" s="62"/>
      <c r="BQ220" s="62"/>
      <c r="BR220" s="62"/>
      <c r="BS220" s="62"/>
      <c r="BT220" s="62"/>
      <c r="BU220" s="62"/>
      <c r="BV220" s="62"/>
      <c r="BW220" s="62"/>
      <c r="BX220" s="62"/>
      <c r="BY220" s="62"/>
      <c r="BZ220" s="62"/>
      <c r="CA220" s="62"/>
      <c r="CB220" s="62"/>
      <c r="CC220" s="62"/>
      <c r="CD220" s="62"/>
      <c r="CE220" s="62"/>
      <c r="CF220" s="62"/>
      <c r="CG220" s="62"/>
    </row>
    <row r="221" spans="1:85" s="4" customFormat="1" ht="64.5" customHeight="1" outlineLevel="1" x14ac:dyDescent="0.25">
      <c r="A221" s="25">
        <f>A220+1</f>
        <v>180</v>
      </c>
      <c r="B221" s="26" t="s">
        <v>301</v>
      </c>
      <c r="C221" s="27" t="s">
        <v>244</v>
      </c>
      <c r="D221" s="28" t="s">
        <v>18</v>
      </c>
      <c r="E221" s="29">
        <f t="shared" si="215"/>
        <v>1064.5000000000002</v>
      </c>
      <c r="F221" s="29">
        <v>72.7</v>
      </c>
      <c r="G221" s="30">
        <f t="shared" si="219"/>
        <v>0</v>
      </c>
      <c r="H221" s="30"/>
      <c r="I221" s="30">
        <f t="shared" si="224"/>
        <v>0</v>
      </c>
      <c r="J221" s="31">
        <f>686</f>
        <v>686</v>
      </c>
      <c r="K221" s="30">
        <f t="shared" si="225"/>
        <v>0</v>
      </c>
      <c r="L221" s="30"/>
      <c r="M221" s="30">
        <f t="shared" si="226"/>
        <v>0</v>
      </c>
      <c r="N221" s="29">
        <v>0</v>
      </c>
      <c r="O221" s="30">
        <f t="shared" si="227"/>
        <v>0</v>
      </c>
      <c r="P221" s="30"/>
      <c r="Q221" s="30">
        <f t="shared" si="228"/>
        <v>0</v>
      </c>
      <c r="R221" s="30">
        <v>60</v>
      </c>
      <c r="S221" s="30">
        <f t="shared" si="239"/>
        <v>0</v>
      </c>
      <c r="T221" s="30"/>
      <c r="U221" s="30">
        <f t="shared" si="230"/>
        <v>0</v>
      </c>
      <c r="V221" s="29">
        <v>164</v>
      </c>
      <c r="W221" s="30">
        <f t="shared" si="221"/>
        <v>0</v>
      </c>
      <c r="X221" s="30"/>
      <c r="Y221" s="30">
        <f t="shared" si="231"/>
        <v>0</v>
      </c>
      <c r="Z221" s="31">
        <f>44+14.4</f>
        <v>58.4</v>
      </c>
      <c r="AA221" s="30">
        <f t="shared" si="222"/>
        <v>0</v>
      </c>
      <c r="AB221" s="58"/>
      <c r="AC221" s="30">
        <f t="shared" si="232"/>
        <v>0</v>
      </c>
      <c r="AD221" s="31">
        <f>13.8+6.8+2.8</f>
        <v>23.400000000000002</v>
      </c>
      <c r="AE221" s="30">
        <f t="shared" si="233"/>
        <v>0</v>
      </c>
      <c r="AF221" s="30"/>
      <c r="AG221" s="30">
        <f t="shared" si="234"/>
        <v>0</v>
      </c>
      <c r="AH221" s="30">
        <f t="shared" si="216"/>
        <v>0</v>
      </c>
      <c r="AI221" s="30">
        <f t="shared" si="164"/>
        <v>0</v>
      </c>
      <c r="AJ221" s="31">
        <v>0</v>
      </c>
      <c r="AK221" s="30" t="s">
        <v>314</v>
      </c>
      <c r="AL221" s="32">
        <v>0</v>
      </c>
      <c r="AM221" s="32">
        <f t="shared" si="235"/>
        <v>0</v>
      </c>
      <c r="AN221" s="32"/>
      <c r="AO221" s="32">
        <f t="shared" si="236"/>
        <v>0</v>
      </c>
      <c r="AP221" s="32">
        <f t="shared" si="240"/>
        <v>0</v>
      </c>
      <c r="AQ221" s="33">
        <f t="shared" si="214"/>
        <v>0</v>
      </c>
      <c r="AR221" s="82">
        <f t="shared" si="214"/>
        <v>0</v>
      </c>
      <c r="AS221" s="9"/>
      <c r="AT221" s="9"/>
      <c r="AU221" s="9"/>
      <c r="AV221" s="9"/>
      <c r="AW221" s="65"/>
      <c r="AX221" s="65"/>
      <c r="AY221" s="62"/>
      <c r="AZ221" s="62"/>
      <c r="BA221" s="62"/>
      <c r="BB221" s="62"/>
      <c r="BC221" s="62"/>
      <c r="BD221" s="62"/>
      <c r="BE221" s="62"/>
      <c r="BF221" s="62"/>
      <c r="BG221" s="62"/>
      <c r="BH221" s="62"/>
      <c r="BI221" s="62"/>
      <c r="BJ221" s="62"/>
      <c r="BK221" s="62"/>
      <c r="BL221" s="62"/>
      <c r="BM221" s="62"/>
      <c r="BN221" s="62"/>
      <c r="BO221" s="62"/>
      <c r="BP221" s="62"/>
      <c r="BQ221" s="62"/>
      <c r="BR221" s="62"/>
      <c r="BS221" s="62"/>
      <c r="BT221" s="62"/>
      <c r="BU221" s="62"/>
      <c r="BV221" s="62"/>
      <c r="BW221" s="62"/>
      <c r="BX221" s="62"/>
      <c r="BY221" s="62"/>
      <c r="BZ221" s="62"/>
      <c r="CA221" s="62"/>
      <c r="CB221" s="62"/>
      <c r="CC221" s="62"/>
      <c r="CD221" s="62"/>
      <c r="CE221" s="62"/>
      <c r="CF221" s="62"/>
      <c r="CG221" s="62"/>
    </row>
    <row r="222" spans="1:85" s="4" customFormat="1" ht="64.5" customHeight="1" outlineLevel="1" x14ac:dyDescent="0.25">
      <c r="A222" s="25">
        <f t="shared" ref="A222:A229" si="241">A221+1</f>
        <v>181</v>
      </c>
      <c r="B222" s="26" t="s">
        <v>301</v>
      </c>
      <c r="C222" s="27" t="s">
        <v>245</v>
      </c>
      <c r="D222" s="28" t="s">
        <v>18</v>
      </c>
      <c r="E222" s="29">
        <f t="shared" si="215"/>
        <v>1212.5999999999999</v>
      </c>
      <c r="F222" s="29">
        <f>50.8+90</f>
        <v>140.80000000000001</v>
      </c>
      <c r="G222" s="30">
        <f t="shared" si="219"/>
        <v>0</v>
      </c>
      <c r="H222" s="30"/>
      <c r="I222" s="30">
        <f t="shared" si="224"/>
        <v>0</v>
      </c>
      <c r="J222" s="31">
        <f>388+38.5+430+12</f>
        <v>868.5</v>
      </c>
      <c r="K222" s="30">
        <f t="shared" si="225"/>
        <v>0</v>
      </c>
      <c r="L222" s="30"/>
      <c r="M222" s="30">
        <f t="shared" si="226"/>
        <v>0</v>
      </c>
      <c r="N222" s="29">
        <v>0</v>
      </c>
      <c r="O222" s="30">
        <f t="shared" si="227"/>
        <v>0</v>
      </c>
      <c r="P222" s="30"/>
      <c r="Q222" s="30">
        <f t="shared" si="228"/>
        <v>0</v>
      </c>
      <c r="R222" s="30">
        <f>10+30</f>
        <v>40</v>
      </c>
      <c r="S222" s="30">
        <f t="shared" si="239"/>
        <v>0</v>
      </c>
      <c r="T222" s="30"/>
      <c r="U222" s="30">
        <f t="shared" si="230"/>
        <v>0</v>
      </c>
      <c r="V222" s="29">
        <f>28+10.8+63+3.5+50</f>
        <v>155.30000000000001</v>
      </c>
      <c r="W222" s="30">
        <f t="shared" si="221"/>
        <v>0</v>
      </c>
      <c r="X222" s="30"/>
      <c r="Y222" s="30">
        <f t="shared" si="231"/>
        <v>0</v>
      </c>
      <c r="Z222" s="31">
        <v>0</v>
      </c>
      <c r="AA222" s="30">
        <f t="shared" si="222"/>
        <v>0</v>
      </c>
      <c r="AB222" s="58"/>
      <c r="AC222" s="30">
        <f t="shared" si="232"/>
        <v>0</v>
      </c>
      <c r="AD222" s="31">
        <v>8</v>
      </c>
      <c r="AE222" s="30">
        <f t="shared" si="233"/>
        <v>0</v>
      </c>
      <c r="AF222" s="30"/>
      <c r="AG222" s="30">
        <f t="shared" si="234"/>
        <v>0</v>
      </c>
      <c r="AH222" s="30">
        <f t="shared" si="216"/>
        <v>0</v>
      </c>
      <c r="AI222" s="30">
        <f t="shared" ref="AI222:AI257" si="242">I222+M222+Q222+U222+Y222+AC222+AG222</f>
        <v>0</v>
      </c>
      <c r="AJ222" s="31">
        <v>0</v>
      </c>
      <c r="AK222" s="30" t="s">
        <v>314</v>
      </c>
      <c r="AL222" s="32">
        <v>0</v>
      </c>
      <c r="AM222" s="32">
        <f t="shared" si="235"/>
        <v>0</v>
      </c>
      <c r="AN222" s="32"/>
      <c r="AO222" s="32">
        <f t="shared" si="236"/>
        <v>0</v>
      </c>
      <c r="AP222" s="32">
        <f t="shared" si="240"/>
        <v>0</v>
      </c>
      <c r="AQ222" s="33">
        <f t="shared" si="214"/>
        <v>0</v>
      </c>
      <c r="AR222" s="82">
        <f t="shared" si="214"/>
        <v>0</v>
      </c>
      <c r="AS222" s="9"/>
      <c r="AT222" s="9"/>
      <c r="AU222" s="9"/>
      <c r="AV222" s="9"/>
      <c r="AW222" s="65"/>
      <c r="AX222" s="65"/>
      <c r="AY222" s="62"/>
      <c r="AZ222" s="62"/>
      <c r="BA222" s="62"/>
      <c r="BB222" s="62"/>
      <c r="BC222" s="62"/>
      <c r="BD222" s="62"/>
      <c r="BE222" s="62"/>
      <c r="BF222" s="62"/>
      <c r="BG222" s="62"/>
      <c r="BH222" s="62"/>
      <c r="BI222" s="62"/>
      <c r="BJ222" s="62"/>
      <c r="BK222" s="62"/>
      <c r="BL222" s="62"/>
      <c r="BM222" s="62"/>
      <c r="BN222" s="62"/>
      <c r="BO222" s="62"/>
      <c r="BP222" s="62"/>
      <c r="BQ222" s="62"/>
      <c r="BR222" s="62"/>
      <c r="BS222" s="62"/>
      <c r="BT222" s="62"/>
      <c r="BU222" s="62"/>
      <c r="BV222" s="62"/>
      <c r="BW222" s="62"/>
      <c r="BX222" s="62"/>
      <c r="BY222" s="62"/>
      <c r="BZ222" s="62"/>
      <c r="CA222" s="62"/>
      <c r="CB222" s="62"/>
      <c r="CC222" s="62"/>
      <c r="CD222" s="62"/>
      <c r="CE222" s="62"/>
      <c r="CF222" s="62"/>
      <c r="CG222" s="62"/>
    </row>
    <row r="223" spans="1:85" s="4" customFormat="1" ht="64.5" customHeight="1" outlineLevel="1" x14ac:dyDescent="0.25">
      <c r="A223" s="25">
        <f t="shared" si="241"/>
        <v>182</v>
      </c>
      <c r="B223" s="26" t="s">
        <v>301</v>
      </c>
      <c r="C223" s="27" t="s">
        <v>246</v>
      </c>
      <c r="D223" s="28" t="s">
        <v>18</v>
      </c>
      <c r="E223" s="29">
        <f t="shared" si="215"/>
        <v>622.09999999999991</v>
      </c>
      <c r="F223" s="29">
        <v>41.2</v>
      </c>
      <c r="G223" s="30">
        <f t="shared" si="219"/>
        <v>0</v>
      </c>
      <c r="H223" s="30"/>
      <c r="I223" s="30">
        <f t="shared" si="224"/>
        <v>0</v>
      </c>
      <c r="J223" s="31">
        <v>407.2</v>
      </c>
      <c r="K223" s="30">
        <f t="shared" si="225"/>
        <v>0</v>
      </c>
      <c r="L223" s="30"/>
      <c r="M223" s="30">
        <f t="shared" si="226"/>
        <v>0</v>
      </c>
      <c r="N223" s="29">
        <v>0</v>
      </c>
      <c r="O223" s="30">
        <f t="shared" si="227"/>
        <v>0</v>
      </c>
      <c r="P223" s="30"/>
      <c r="Q223" s="30">
        <f t="shared" si="228"/>
        <v>0</v>
      </c>
      <c r="R223" s="30">
        <v>33.9</v>
      </c>
      <c r="S223" s="30">
        <v>4.2</v>
      </c>
      <c r="T223" s="30"/>
      <c r="U223" s="30">
        <f t="shared" si="230"/>
        <v>0</v>
      </c>
      <c r="V223" s="29">
        <v>125.1</v>
      </c>
      <c r="W223" s="30">
        <f t="shared" si="221"/>
        <v>0</v>
      </c>
      <c r="X223" s="30"/>
      <c r="Y223" s="30">
        <f t="shared" si="231"/>
        <v>0</v>
      </c>
      <c r="Z223" s="31">
        <v>11.3</v>
      </c>
      <c r="AA223" s="30">
        <f t="shared" si="222"/>
        <v>0</v>
      </c>
      <c r="AB223" s="58"/>
      <c r="AC223" s="30">
        <f t="shared" si="232"/>
        <v>0</v>
      </c>
      <c r="AD223" s="31">
        <v>3.4</v>
      </c>
      <c r="AE223" s="30">
        <f t="shared" si="233"/>
        <v>0</v>
      </c>
      <c r="AF223" s="30"/>
      <c r="AG223" s="30">
        <f t="shared" si="234"/>
        <v>0</v>
      </c>
      <c r="AH223" s="30">
        <f t="shared" si="216"/>
        <v>0</v>
      </c>
      <c r="AI223" s="30">
        <f t="shared" si="242"/>
        <v>0</v>
      </c>
      <c r="AJ223" s="31">
        <v>0</v>
      </c>
      <c r="AK223" s="30" t="s">
        <v>314</v>
      </c>
      <c r="AL223" s="32">
        <v>0</v>
      </c>
      <c r="AM223" s="32">
        <f t="shared" si="235"/>
        <v>0</v>
      </c>
      <c r="AN223" s="32"/>
      <c r="AO223" s="32">
        <f t="shared" si="236"/>
        <v>0</v>
      </c>
      <c r="AP223" s="32">
        <f t="shared" si="240"/>
        <v>0</v>
      </c>
      <c r="AQ223" s="33">
        <f t="shared" si="214"/>
        <v>0</v>
      </c>
      <c r="AR223" s="82">
        <f t="shared" si="214"/>
        <v>0</v>
      </c>
      <c r="AS223" s="9"/>
      <c r="AT223" s="9"/>
      <c r="AU223" s="9"/>
      <c r="AV223" s="9"/>
      <c r="AW223" s="65"/>
      <c r="AX223" s="65"/>
      <c r="AY223" s="62"/>
      <c r="AZ223" s="62"/>
      <c r="BA223" s="62"/>
      <c r="BB223" s="62"/>
      <c r="BC223" s="62"/>
      <c r="BD223" s="62"/>
      <c r="BE223" s="62"/>
      <c r="BF223" s="62"/>
      <c r="BG223" s="62"/>
      <c r="BH223" s="62"/>
      <c r="BI223" s="62"/>
      <c r="BJ223" s="62"/>
      <c r="BK223" s="62"/>
      <c r="BL223" s="62"/>
      <c r="BM223" s="62"/>
      <c r="BN223" s="62"/>
      <c r="BO223" s="62"/>
      <c r="BP223" s="62"/>
      <c r="BQ223" s="62"/>
      <c r="BR223" s="62"/>
      <c r="BS223" s="62"/>
      <c r="BT223" s="62"/>
      <c r="BU223" s="62"/>
      <c r="BV223" s="62"/>
      <c r="BW223" s="62"/>
      <c r="BX223" s="62"/>
      <c r="BY223" s="62"/>
      <c r="BZ223" s="62"/>
      <c r="CA223" s="62"/>
      <c r="CB223" s="62"/>
      <c r="CC223" s="62"/>
      <c r="CD223" s="62"/>
      <c r="CE223" s="62"/>
      <c r="CF223" s="62"/>
      <c r="CG223" s="62"/>
    </row>
    <row r="224" spans="1:85" s="4" customFormat="1" ht="64.5" customHeight="1" outlineLevel="1" x14ac:dyDescent="0.25">
      <c r="A224" s="25">
        <f t="shared" si="241"/>
        <v>183</v>
      </c>
      <c r="B224" s="26" t="s">
        <v>301</v>
      </c>
      <c r="C224" s="27" t="s">
        <v>300</v>
      </c>
      <c r="D224" s="28" t="s">
        <v>18</v>
      </c>
      <c r="E224" s="29">
        <f t="shared" si="215"/>
        <v>643.9</v>
      </c>
      <c r="F224" s="29">
        <v>17.600000000000001</v>
      </c>
      <c r="G224" s="30">
        <f t="shared" si="219"/>
        <v>0</v>
      </c>
      <c r="H224" s="30"/>
      <c r="I224" s="30">
        <f t="shared" si="224"/>
        <v>0</v>
      </c>
      <c r="J224" s="31">
        <f>512.3-97.6</f>
        <v>414.69999999999993</v>
      </c>
      <c r="K224" s="30">
        <f t="shared" si="225"/>
        <v>0</v>
      </c>
      <c r="L224" s="30"/>
      <c r="M224" s="30">
        <f t="shared" si="226"/>
        <v>0</v>
      </c>
      <c r="N224" s="29">
        <v>0</v>
      </c>
      <c r="O224" s="30">
        <f t="shared" si="227"/>
        <v>0</v>
      </c>
      <c r="P224" s="30"/>
      <c r="Q224" s="30">
        <f t="shared" si="228"/>
        <v>0</v>
      </c>
      <c r="R224" s="30">
        <v>53.2</v>
      </c>
      <c r="S224" s="30">
        <f t="shared" ref="S224:S226" si="243">T224/1.18</f>
        <v>0</v>
      </c>
      <c r="T224" s="30"/>
      <c r="U224" s="30">
        <f t="shared" si="230"/>
        <v>0</v>
      </c>
      <c r="V224" s="29">
        <v>152.19999999999999</v>
      </c>
      <c r="W224" s="30">
        <f t="shared" si="221"/>
        <v>0</v>
      </c>
      <c r="X224" s="30"/>
      <c r="Y224" s="30">
        <f t="shared" si="231"/>
        <v>0</v>
      </c>
      <c r="Z224" s="31">
        <v>0</v>
      </c>
      <c r="AA224" s="30">
        <f t="shared" si="222"/>
        <v>0</v>
      </c>
      <c r="AB224" s="58"/>
      <c r="AC224" s="30">
        <f t="shared" si="232"/>
        <v>0</v>
      </c>
      <c r="AD224" s="31">
        <v>6.2</v>
      </c>
      <c r="AE224" s="30">
        <f t="shared" si="233"/>
        <v>0</v>
      </c>
      <c r="AF224" s="30"/>
      <c r="AG224" s="30">
        <f t="shared" si="234"/>
        <v>0</v>
      </c>
      <c r="AH224" s="30">
        <f t="shared" si="216"/>
        <v>0</v>
      </c>
      <c r="AI224" s="30">
        <f t="shared" si="242"/>
        <v>0</v>
      </c>
      <c r="AJ224" s="31">
        <v>0</v>
      </c>
      <c r="AK224" s="30" t="s">
        <v>314</v>
      </c>
      <c r="AL224" s="32">
        <v>0</v>
      </c>
      <c r="AM224" s="32">
        <f t="shared" si="235"/>
        <v>0</v>
      </c>
      <c r="AN224" s="32"/>
      <c r="AO224" s="32">
        <f t="shared" si="236"/>
        <v>0</v>
      </c>
      <c r="AP224" s="32">
        <f t="shared" si="240"/>
        <v>0</v>
      </c>
      <c r="AQ224" s="33">
        <f t="shared" si="214"/>
        <v>0</v>
      </c>
      <c r="AR224" s="82">
        <f t="shared" si="214"/>
        <v>0</v>
      </c>
      <c r="AS224" s="9"/>
      <c r="AT224" s="9"/>
      <c r="AU224" s="9"/>
      <c r="AV224" s="9"/>
      <c r="AW224" s="65"/>
      <c r="AX224" s="65"/>
      <c r="AY224" s="62"/>
      <c r="AZ224" s="62"/>
      <c r="BA224" s="62"/>
      <c r="BB224" s="62"/>
      <c r="BC224" s="62"/>
      <c r="BD224" s="62"/>
      <c r="BE224" s="62"/>
      <c r="BF224" s="62"/>
      <c r="BG224" s="62"/>
      <c r="BH224" s="62"/>
      <c r="BI224" s="62"/>
      <c r="BJ224" s="62"/>
      <c r="BK224" s="62"/>
      <c r="BL224" s="62"/>
      <c r="BM224" s="62"/>
      <c r="BN224" s="62"/>
      <c r="BO224" s="62"/>
      <c r="BP224" s="62"/>
      <c r="BQ224" s="62"/>
      <c r="BR224" s="62"/>
      <c r="BS224" s="62"/>
      <c r="BT224" s="62"/>
      <c r="BU224" s="62"/>
      <c r="BV224" s="62"/>
      <c r="BW224" s="62"/>
      <c r="BX224" s="62"/>
      <c r="BY224" s="62"/>
      <c r="BZ224" s="62"/>
      <c r="CA224" s="62"/>
      <c r="CB224" s="62"/>
      <c r="CC224" s="62"/>
      <c r="CD224" s="62"/>
      <c r="CE224" s="62"/>
      <c r="CF224" s="62"/>
      <c r="CG224" s="62"/>
    </row>
    <row r="225" spans="1:85" s="4" customFormat="1" ht="84.75" customHeight="1" outlineLevel="1" x14ac:dyDescent="0.25">
      <c r="A225" s="25">
        <f t="shared" si="241"/>
        <v>184</v>
      </c>
      <c r="B225" s="26" t="s">
        <v>301</v>
      </c>
      <c r="C225" s="27" t="s">
        <v>247</v>
      </c>
      <c r="D225" s="28" t="s">
        <v>18</v>
      </c>
      <c r="E225" s="29">
        <f t="shared" si="215"/>
        <v>860.7</v>
      </c>
      <c r="F225" s="29">
        <v>23.9</v>
      </c>
      <c r="G225" s="30">
        <f t="shared" si="219"/>
        <v>0</v>
      </c>
      <c r="H225" s="30"/>
      <c r="I225" s="30">
        <f t="shared" si="224"/>
        <v>0</v>
      </c>
      <c r="J225" s="31">
        <f>570-11.6</f>
        <v>558.4</v>
      </c>
      <c r="K225" s="30">
        <f t="shared" si="225"/>
        <v>0</v>
      </c>
      <c r="L225" s="30"/>
      <c r="M225" s="30">
        <f t="shared" si="226"/>
        <v>0</v>
      </c>
      <c r="N225" s="29">
        <v>0</v>
      </c>
      <c r="O225" s="30">
        <f t="shared" si="227"/>
        <v>0</v>
      </c>
      <c r="P225" s="30"/>
      <c r="Q225" s="30">
        <f t="shared" si="228"/>
        <v>0</v>
      </c>
      <c r="R225" s="30">
        <f>74+13.7</f>
        <v>87.7</v>
      </c>
      <c r="S225" s="30">
        <f t="shared" si="243"/>
        <v>0</v>
      </c>
      <c r="T225" s="30"/>
      <c r="U225" s="30">
        <f t="shared" si="230"/>
        <v>0</v>
      </c>
      <c r="V225" s="29">
        <v>128.19999999999999</v>
      </c>
      <c r="W225" s="30">
        <f t="shared" si="221"/>
        <v>0</v>
      </c>
      <c r="X225" s="30"/>
      <c r="Y225" s="30">
        <f t="shared" si="231"/>
        <v>0</v>
      </c>
      <c r="Z225" s="31">
        <v>58.2</v>
      </c>
      <c r="AA225" s="30">
        <f t="shared" si="222"/>
        <v>0</v>
      </c>
      <c r="AB225" s="58"/>
      <c r="AC225" s="30">
        <f t="shared" si="232"/>
        <v>0</v>
      </c>
      <c r="AD225" s="31">
        <v>4.3</v>
      </c>
      <c r="AE225" s="30">
        <f t="shared" si="233"/>
        <v>0</v>
      </c>
      <c r="AF225" s="30"/>
      <c r="AG225" s="30">
        <f t="shared" si="234"/>
        <v>0</v>
      </c>
      <c r="AH225" s="30">
        <f t="shared" si="216"/>
        <v>0</v>
      </c>
      <c r="AI225" s="30">
        <f t="shared" si="242"/>
        <v>0</v>
      </c>
      <c r="AJ225" s="31">
        <v>0</v>
      </c>
      <c r="AK225" s="30" t="s">
        <v>314</v>
      </c>
      <c r="AL225" s="32">
        <v>0</v>
      </c>
      <c r="AM225" s="32">
        <f t="shared" si="235"/>
        <v>0</v>
      </c>
      <c r="AN225" s="32"/>
      <c r="AO225" s="32">
        <f t="shared" si="236"/>
        <v>0</v>
      </c>
      <c r="AP225" s="32">
        <f t="shared" si="240"/>
        <v>0</v>
      </c>
      <c r="AQ225" s="33">
        <f t="shared" si="214"/>
        <v>0</v>
      </c>
      <c r="AR225" s="82">
        <f t="shared" si="214"/>
        <v>0</v>
      </c>
      <c r="AS225" s="9"/>
      <c r="AT225" s="9"/>
      <c r="AU225" s="9"/>
      <c r="AV225" s="9"/>
      <c r="AW225" s="65"/>
      <c r="AX225" s="65"/>
      <c r="AY225" s="62"/>
      <c r="AZ225" s="62"/>
      <c r="BA225" s="62"/>
      <c r="BB225" s="62"/>
      <c r="BC225" s="62"/>
      <c r="BD225" s="62"/>
      <c r="BE225" s="62"/>
      <c r="BF225" s="62"/>
      <c r="BG225" s="62"/>
      <c r="BH225" s="62"/>
      <c r="BI225" s="62"/>
      <c r="BJ225" s="62"/>
      <c r="BK225" s="62"/>
      <c r="BL225" s="62"/>
      <c r="BM225" s="62"/>
      <c r="BN225" s="62"/>
      <c r="BO225" s="62"/>
      <c r="BP225" s="62"/>
      <c r="BQ225" s="62"/>
      <c r="BR225" s="62"/>
      <c r="BS225" s="62"/>
      <c r="BT225" s="62"/>
      <c r="BU225" s="62"/>
      <c r="BV225" s="62"/>
      <c r="BW225" s="62"/>
      <c r="BX225" s="62"/>
      <c r="BY225" s="62"/>
      <c r="BZ225" s="62"/>
      <c r="CA225" s="62"/>
      <c r="CB225" s="62"/>
      <c r="CC225" s="62"/>
      <c r="CD225" s="62"/>
      <c r="CE225" s="62"/>
      <c r="CF225" s="62"/>
      <c r="CG225" s="62"/>
    </row>
    <row r="226" spans="1:85" s="4" customFormat="1" ht="64.5" customHeight="1" outlineLevel="1" x14ac:dyDescent="0.25">
      <c r="A226" s="25">
        <f t="shared" si="241"/>
        <v>185</v>
      </c>
      <c r="B226" s="26" t="s">
        <v>301</v>
      </c>
      <c r="C226" s="27" t="s">
        <v>248</v>
      </c>
      <c r="D226" s="28" t="s">
        <v>18</v>
      </c>
      <c r="E226" s="29">
        <f t="shared" si="215"/>
        <v>817.99</v>
      </c>
      <c r="F226" s="29">
        <f>20.58+56.5</f>
        <v>77.08</v>
      </c>
      <c r="G226" s="30">
        <f t="shared" si="219"/>
        <v>0</v>
      </c>
      <c r="H226" s="30"/>
      <c r="I226" s="30">
        <f t="shared" si="224"/>
        <v>0</v>
      </c>
      <c r="J226" s="31">
        <f>566.8-11.6</f>
        <v>555.19999999999993</v>
      </c>
      <c r="K226" s="30">
        <f t="shared" si="225"/>
        <v>0</v>
      </c>
      <c r="L226" s="30"/>
      <c r="M226" s="30">
        <f t="shared" si="226"/>
        <v>0</v>
      </c>
      <c r="N226" s="29">
        <v>0</v>
      </c>
      <c r="O226" s="30">
        <f t="shared" si="227"/>
        <v>0</v>
      </c>
      <c r="P226" s="30"/>
      <c r="Q226" s="30">
        <f t="shared" si="228"/>
        <v>0</v>
      </c>
      <c r="R226" s="30">
        <v>53.9</v>
      </c>
      <c r="S226" s="30">
        <f t="shared" si="243"/>
        <v>0</v>
      </c>
      <c r="T226" s="30"/>
      <c r="U226" s="30">
        <f t="shared" si="230"/>
        <v>0</v>
      </c>
      <c r="V226" s="29">
        <v>118.11</v>
      </c>
      <c r="W226" s="30">
        <f t="shared" si="221"/>
        <v>0</v>
      </c>
      <c r="X226" s="30"/>
      <c r="Y226" s="30">
        <f t="shared" si="231"/>
        <v>0</v>
      </c>
      <c r="Z226" s="31">
        <v>0</v>
      </c>
      <c r="AA226" s="30">
        <f t="shared" si="222"/>
        <v>0</v>
      </c>
      <c r="AB226" s="58"/>
      <c r="AC226" s="30">
        <f t="shared" si="232"/>
        <v>0</v>
      </c>
      <c r="AD226" s="31">
        <v>13.7</v>
      </c>
      <c r="AE226" s="30">
        <f t="shared" si="233"/>
        <v>0</v>
      </c>
      <c r="AF226" s="30"/>
      <c r="AG226" s="30">
        <f t="shared" si="234"/>
        <v>0</v>
      </c>
      <c r="AH226" s="30">
        <f t="shared" si="216"/>
        <v>0</v>
      </c>
      <c r="AI226" s="30">
        <f t="shared" si="242"/>
        <v>0</v>
      </c>
      <c r="AJ226" s="31">
        <v>0</v>
      </c>
      <c r="AK226" s="30" t="s">
        <v>314</v>
      </c>
      <c r="AL226" s="32">
        <v>0</v>
      </c>
      <c r="AM226" s="32">
        <f t="shared" si="235"/>
        <v>0</v>
      </c>
      <c r="AN226" s="32"/>
      <c r="AO226" s="32">
        <f t="shared" si="236"/>
        <v>0</v>
      </c>
      <c r="AP226" s="32">
        <f t="shared" si="240"/>
        <v>0</v>
      </c>
      <c r="AQ226" s="33">
        <f t="shared" si="214"/>
        <v>0</v>
      </c>
      <c r="AR226" s="82">
        <f t="shared" si="214"/>
        <v>0</v>
      </c>
      <c r="AS226" s="9"/>
      <c r="AT226" s="9"/>
      <c r="AU226" s="9"/>
      <c r="AV226" s="9"/>
      <c r="AW226" s="65"/>
      <c r="AX226" s="65"/>
      <c r="AY226" s="62"/>
      <c r="AZ226" s="62"/>
      <c r="BA226" s="62"/>
      <c r="BB226" s="62"/>
      <c r="BC226" s="62"/>
      <c r="BD226" s="62"/>
      <c r="BE226" s="62"/>
      <c r="BF226" s="62"/>
      <c r="BG226" s="62"/>
      <c r="BH226" s="62"/>
      <c r="BI226" s="62"/>
      <c r="BJ226" s="62"/>
      <c r="BK226" s="62"/>
      <c r="BL226" s="62"/>
      <c r="BM226" s="62"/>
      <c r="BN226" s="62"/>
      <c r="BO226" s="62"/>
      <c r="BP226" s="62"/>
      <c r="BQ226" s="62"/>
      <c r="BR226" s="62"/>
      <c r="BS226" s="62"/>
      <c r="BT226" s="62"/>
      <c r="BU226" s="62"/>
      <c r="BV226" s="62"/>
      <c r="BW226" s="62"/>
      <c r="BX226" s="62"/>
      <c r="BY226" s="62"/>
      <c r="BZ226" s="62"/>
      <c r="CA226" s="62"/>
      <c r="CB226" s="62"/>
      <c r="CC226" s="62"/>
      <c r="CD226" s="62"/>
      <c r="CE226" s="62"/>
      <c r="CF226" s="62"/>
      <c r="CG226" s="62"/>
    </row>
    <row r="227" spans="1:85" s="4" customFormat="1" ht="64.5" customHeight="1" outlineLevel="1" x14ac:dyDescent="0.25">
      <c r="A227" s="25">
        <f t="shared" si="241"/>
        <v>186</v>
      </c>
      <c r="B227" s="26" t="s">
        <v>301</v>
      </c>
      <c r="C227" s="27" t="s">
        <v>249</v>
      </c>
      <c r="D227" s="28" t="s">
        <v>18</v>
      </c>
      <c r="E227" s="29">
        <f t="shared" si="215"/>
        <v>655.8</v>
      </c>
      <c r="F227" s="29">
        <f>40.3</f>
        <v>40.299999999999997</v>
      </c>
      <c r="G227" s="30">
        <f t="shared" si="219"/>
        <v>0</v>
      </c>
      <c r="H227" s="30"/>
      <c r="I227" s="30">
        <f t="shared" si="224"/>
        <v>0</v>
      </c>
      <c r="J227" s="31">
        <f>41.1+172.1+28.6+55.8+85.1</f>
        <v>382.69999999999993</v>
      </c>
      <c r="K227" s="30">
        <f t="shared" si="225"/>
        <v>0</v>
      </c>
      <c r="L227" s="30"/>
      <c r="M227" s="30">
        <f t="shared" si="226"/>
        <v>0</v>
      </c>
      <c r="N227" s="29">
        <v>0</v>
      </c>
      <c r="O227" s="30">
        <f t="shared" si="227"/>
        <v>0</v>
      </c>
      <c r="P227" s="30"/>
      <c r="Q227" s="30">
        <f t="shared" si="228"/>
        <v>0</v>
      </c>
      <c r="R227" s="30">
        <f>8.5+32.5+35.8+5</f>
        <v>81.8</v>
      </c>
      <c r="S227" s="30">
        <v>4.2</v>
      </c>
      <c r="T227" s="30"/>
      <c r="U227" s="30">
        <f t="shared" si="230"/>
        <v>0</v>
      </c>
      <c r="V227" s="29">
        <f>21.7+13.9+25.1+4.7+2.8+6.8+19.6+15.4+19.4</f>
        <v>129.4</v>
      </c>
      <c r="W227" s="30">
        <f t="shared" si="221"/>
        <v>0</v>
      </c>
      <c r="X227" s="30"/>
      <c r="Y227" s="30">
        <f t="shared" si="231"/>
        <v>0</v>
      </c>
      <c r="Z227" s="31">
        <v>17.600000000000001</v>
      </c>
      <c r="AA227" s="30">
        <f t="shared" si="222"/>
        <v>0</v>
      </c>
      <c r="AB227" s="58"/>
      <c r="AC227" s="30">
        <f t="shared" si="232"/>
        <v>0</v>
      </c>
      <c r="AD227" s="31">
        <f>4</f>
        <v>4</v>
      </c>
      <c r="AE227" s="30">
        <f t="shared" si="233"/>
        <v>0</v>
      </c>
      <c r="AF227" s="30"/>
      <c r="AG227" s="30">
        <f t="shared" si="234"/>
        <v>0</v>
      </c>
      <c r="AH227" s="30">
        <f t="shared" si="216"/>
        <v>0</v>
      </c>
      <c r="AI227" s="30">
        <f t="shared" si="242"/>
        <v>0</v>
      </c>
      <c r="AJ227" s="31">
        <v>0</v>
      </c>
      <c r="AK227" s="30" t="s">
        <v>314</v>
      </c>
      <c r="AL227" s="32">
        <v>0</v>
      </c>
      <c r="AM227" s="32">
        <f t="shared" si="235"/>
        <v>0</v>
      </c>
      <c r="AN227" s="32"/>
      <c r="AO227" s="32">
        <f t="shared" si="236"/>
        <v>0</v>
      </c>
      <c r="AP227" s="32">
        <f t="shared" si="240"/>
        <v>0</v>
      </c>
      <c r="AQ227" s="33">
        <f t="shared" si="214"/>
        <v>0</v>
      </c>
      <c r="AR227" s="82">
        <f t="shared" si="214"/>
        <v>0</v>
      </c>
      <c r="AS227" s="9"/>
      <c r="AT227" s="9"/>
      <c r="AU227" s="9"/>
      <c r="AV227" s="9"/>
      <c r="AW227" s="65"/>
      <c r="AX227" s="65"/>
      <c r="AY227" s="62"/>
      <c r="AZ227" s="62"/>
      <c r="BA227" s="62"/>
      <c r="BB227" s="62"/>
      <c r="BC227" s="62"/>
      <c r="BD227" s="62"/>
      <c r="BE227" s="62"/>
      <c r="BF227" s="62"/>
      <c r="BG227" s="62"/>
      <c r="BH227" s="62"/>
      <c r="BI227" s="62"/>
      <c r="BJ227" s="62"/>
      <c r="BK227" s="62"/>
      <c r="BL227" s="62"/>
      <c r="BM227" s="62"/>
      <c r="BN227" s="62"/>
      <c r="BO227" s="62"/>
      <c r="BP227" s="62"/>
      <c r="BQ227" s="62"/>
      <c r="BR227" s="62"/>
      <c r="BS227" s="62"/>
      <c r="BT227" s="62"/>
      <c r="BU227" s="62"/>
      <c r="BV227" s="62"/>
      <c r="BW227" s="62"/>
      <c r="BX227" s="62"/>
      <c r="BY227" s="62"/>
      <c r="BZ227" s="62"/>
      <c r="CA227" s="62"/>
      <c r="CB227" s="62"/>
      <c r="CC227" s="62"/>
      <c r="CD227" s="62"/>
      <c r="CE227" s="62"/>
      <c r="CF227" s="62"/>
      <c r="CG227" s="62"/>
    </row>
    <row r="228" spans="1:85" s="4" customFormat="1" ht="81.75" customHeight="1" outlineLevel="1" x14ac:dyDescent="0.25">
      <c r="A228" s="25">
        <f t="shared" si="241"/>
        <v>187</v>
      </c>
      <c r="B228" s="26" t="s">
        <v>301</v>
      </c>
      <c r="C228" s="78" t="s">
        <v>250</v>
      </c>
      <c r="D228" s="79" t="s">
        <v>18</v>
      </c>
      <c r="E228" s="29">
        <f t="shared" si="215"/>
        <v>1858.9999999999998</v>
      </c>
      <c r="F228" s="36">
        <v>29.6</v>
      </c>
      <c r="G228" s="30">
        <f t="shared" si="219"/>
        <v>0</v>
      </c>
      <c r="H228" s="30"/>
      <c r="I228" s="37">
        <f t="shared" si="224"/>
        <v>0</v>
      </c>
      <c r="J228" s="38">
        <v>1566</v>
      </c>
      <c r="K228" s="37">
        <f t="shared" si="225"/>
        <v>0</v>
      </c>
      <c r="L228" s="30"/>
      <c r="M228" s="37">
        <f t="shared" si="226"/>
        <v>0</v>
      </c>
      <c r="N228" s="36">
        <v>0</v>
      </c>
      <c r="O228" s="37">
        <f t="shared" si="227"/>
        <v>0</v>
      </c>
      <c r="P228" s="30"/>
      <c r="Q228" s="37">
        <f t="shared" si="228"/>
        <v>0</v>
      </c>
      <c r="R228" s="37">
        <f>54+19.6</f>
        <v>73.599999999999994</v>
      </c>
      <c r="S228" s="30">
        <f t="shared" ref="S228:S229" si="244">T228/1.18</f>
        <v>0</v>
      </c>
      <c r="T228" s="30"/>
      <c r="U228" s="37">
        <f t="shared" si="230"/>
        <v>0</v>
      </c>
      <c r="V228" s="36">
        <v>150.9</v>
      </c>
      <c r="W228" s="30">
        <f t="shared" si="221"/>
        <v>0</v>
      </c>
      <c r="X228" s="30"/>
      <c r="Y228" s="37">
        <f t="shared" si="231"/>
        <v>0</v>
      </c>
      <c r="Z228" s="38">
        <v>33.299999999999997</v>
      </c>
      <c r="AA228" s="30">
        <f t="shared" si="222"/>
        <v>0</v>
      </c>
      <c r="AB228" s="58"/>
      <c r="AC228" s="37">
        <f t="shared" si="232"/>
        <v>0</v>
      </c>
      <c r="AD228" s="38">
        <v>5.6</v>
      </c>
      <c r="AE228" s="37">
        <f t="shared" si="233"/>
        <v>0</v>
      </c>
      <c r="AF228" s="30"/>
      <c r="AG228" s="37">
        <f t="shared" si="234"/>
        <v>0</v>
      </c>
      <c r="AH228" s="30">
        <f t="shared" si="216"/>
        <v>0</v>
      </c>
      <c r="AI228" s="30">
        <f t="shared" si="242"/>
        <v>0</v>
      </c>
      <c r="AJ228" s="38">
        <v>0</v>
      </c>
      <c r="AK228" s="30" t="s">
        <v>314</v>
      </c>
      <c r="AL228" s="32">
        <v>0</v>
      </c>
      <c r="AM228" s="32">
        <f t="shared" si="235"/>
        <v>0</v>
      </c>
      <c r="AN228" s="32"/>
      <c r="AO228" s="60">
        <f t="shared" si="236"/>
        <v>0</v>
      </c>
      <c r="AP228" s="60">
        <f t="shared" si="240"/>
        <v>0</v>
      </c>
      <c r="AQ228" s="33">
        <f t="shared" si="214"/>
        <v>0</v>
      </c>
      <c r="AR228" s="82">
        <f t="shared" si="214"/>
        <v>0</v>
      </c>
      <c r="AS228" s="9"/>
      <c r="AT228" s="9"/>
      <c r="AU228" s="9"/>
      <c r="AV228" s="9"/>
      <c r="AW228" s="65"/>
      <c r="AX228" s="65"/>
      <c r="AY228" s="62"/>
      <c r="AZ228" s="62"/>
      <c r="BA228" s="62"/>
      <c r="BB228" s="62"/>
      <c r="BC228" s="62"/>
      <c r="BD228" s="62"/>
      <c r="BE228" s="62"/>
      <c r="BF228" s="62"/>
      <c r="BG228" s="62"/>
      <c r="BH228" s="62"/>
      <c r="BI228" s="62"/>
      <c r="BJ228" s="62"/>
      <c r="BK228" s="62"/>
      <c r="BL228" s="62"/>
      <c r="BM228" s="62"/>
      <c r="BN228" s="62"/>
      <c r="BO228" s="62"/>
      <c r="BP228" s="62"/>
      <c r="BQ228" s="62"/>
      <c r="BR228" s="62"/>
      <c r="BS228" s="62"/>
      <c r="BT228" s="62"/>
      <c r="BU228" s="62"/>
      <c r="BV228" s="62"/>
      <c r="BW228" s="62"/>
      <c r="BX228" s="62"/>
      <c r="BY228" s="62"/>
      <c r="BZ228" s="62"/>
      <c r="CA228" s="62"/>
      <c r="CB228" s="62"/>
      <c r="CC228" s="62"/>
      <c r="CD228" s="62"/>
      <c r="CE228" s="62"/>
      <c r="CF228" s="62"/>
      <c r="CG228" s="62"/>
    </row>
    <row r="229" spans="1:85" s="61" customFormat="1" ht="81.75" customHeight="1" outlineLevel="1" x14ac:dyDescent="0.25">
      <c r="A229" s="25">
        <f t="shared" si="241"/>
        <v>188</v>
      </c>
      <c r="B229" s="26" t="s">
        <v>301</v>
      </c>
      <c r="C229" s="53" t="s">
        <v>271</v>
      </c>
      <c r="D229" s="54" t="s">
        <v>18</v>
      </c>
      <c r="E229" s="29">
        <f t="shared" si="215"/>
        <v>498.5</v>
      </c>
      <c r="F229" s="57">
        <f>11.6+10.5+10.6+10.4+16.7+9.1+13.8+10.3+10.2+13.2</f>
        <v>116.39999999999999</v>
      </c>
      <c r="G229" s="30">
        <f t="shared" si="219"/>
        <v>0</v>
      </c>
      <c r="H229" s="30"/>
      <c r="I229" s="30">
        <f t="shared" si="224"/>
        <v>0</v>
      </c>
      <c r="J229" s="59">
        <f>21.8+30.4+34.2+191.6</f>
        <v>278</v>
      </c>
      <c r="K229" s="58">
        <v>0</v>
      </c>
      <c r="L229" s="30"/>
      <c r="M229" s="30">
        <f t="shared" si="226"/>
        <v>0</v>
      </c>
      <c r="N229" s="57">
        <v>0</v>
      </c>
      <c r="O229" s="30">
        <f t="shared" si="227"/>
        <v>0</v>
      </c>
      <c r="P229" s="30"/>
      <c r="Q229" s="58">
        <f t="shared" si="228"/>
        <v>0</v>
      </c>
      <c r="R229" s="58">
        <v>2.4</v>
      </c>
      <c r="S229" s="30">
        <f t="shared" si="244"/>
        <v>0</v>
      </c>
      <c r="T229" s="30"/>
      <c r="U229" s="30">
        <f t="shared" si="230"/>
        <v>0</v>
      </c>
      <c r="V229" s="57">
        <f>1.7+46.4+3+2.7+9.3+16.5+16.6</f>
        <v>96.200000000000017</v>
      </c>
      <c r="W229" s="30">
        <f t="shared" si="221"/>
        <v>0</v>
      </c>
      <c r="X229" s="30"/>
      <c r="Y229" s="30">
        <f t="shared" si="231"/>
        <v>0</v>
      </c>
      <c r="Z229" s="59">
        <v>0</v>
      </c>
      <c r="AA229" s="30">
        <f t="shared" si="222"/>
        <v>0</v>
      </c>
      <c r="AB229" s="58"/>
      <c r="AC229" s="58">
        <f t="shared" si="232"/>
        <v>0</v>
      </c>
      <c r="AD229" s="59">
        <f>3.5+2</f>
        <v>5.5</v>
      </c>
      <c r="AE229" s="58"/>
      <c r="AF229" s="30"/>
      <c r="AG229" s="58"/>
      <c r="AH229" s="30">
        <f t="shared" si="216"/>
        <v>0</v>
      </c>
      <c r="AI229" s="30">
        <f t="shared" si="242"/>
        <v>0</v>
      </c>
      <c r="AJ229" s="59">
        <v>0</v>
      </c>
      <c r="AK229" s="30" t="s">
        <v>314</v>
      </c>
      <c r="AL229" s="32">
        <v>0</v>
      </c>
      <c r="AM229" s="32">
        <f t="shared" si="235"/>
        <v>0</v>
      </c>
      <c r="AN229" s="32"/>
      <c r="AO229" s="32">
        <f t="shared" ref="AO229" si="245">AM229*AJ229</f>
        <v>0</v>
      </c>
      <c r="AP229" s="32">
        <f t="shared" ref="AP229" si="246">AN229*AJ229</f>
        <v>0</v>
      </c>
      <c r="AQ229" s="33">
        <f t="shared" si="214"/>
        <v>0</v>
      </c>
      <c r="AR229" s="82">
        <f t="shared" si="214"/>
        <v>0</v>
      </c>
      <c r="AS229" s="115"/>
      <c r="AT229" s="9"/>
      <c r="AU229" s="9"/>
      <c r="AV229" s="9"/>
      <c r="AW229" s="65"/>
      <c r="AX229" s="65"/>
      <c r="AY229" s="112"/>
      <c r="AZ229" s="63"/>
      <c r="BA229" s="63"/>
      <c r="BB229" s="63"/>
      <c r="BC229" s="63"/>
      <c r="BD229" s="63"/>
      <c r="BE229" s="63"/>
      <c r="BF229" s="63"/>
      <c r="BG229" s="63"/>
      <c r="BH229" s="63"/>
      <c r="BI229" s="63"/>
      <c r="BJ229" s="63"/>
      <c r="BK229" s="63"/>
      <c r="BL229" s="63"/>
      <c r="BM229" s="63"/>
      <c r="BN229" s="63"/>
      <c r="BO229" s="63"/>
      <c r="BP229" s="63"/>
      <c r="BQ229" s="63"/>
      <c r="BR229" s="63"/>
      <c r="BS229" s="63"/>
      <c r="BT229" s="63"/>
      <c r="BU229" s="63"/>
      <c r="BV229" s="63"/>
      <c r="BW229" s="63"/>
      <c r="BX229" s="63"/>
      <c r="BY229" s="63"/>
      <c r="BZ229" s="63"/>
      <c r="CA229" s="63"/>
      <c r="CB229" s="63"/>
      <c r="CC229" s="63"/>
      <c r="CD229" s="63"/>
      <c r="CE229" s="63"/>
      <c r="CF229" s="63"/>
      <c r="CG229" s="63"/>
    </row>
    <row r="230" spans="1:85" s="43" customFormat="1" ht="64.5" customHeight="1" outlineLevel="1" x14ac:dyDescent="0.3">
      <c r="A230" s="143" t="s">
        <v>64</v>
      </c>
      <c r="B230" s="144"/>
      <c r="C230" s="144"/>
      <c r="D230" s="101"/>
      <c r="E230" s="29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  <c r="AA230" s="101"/>
      <c r="AB230" s="101"/>
      <c r="AC230" s="101"/>
      <c r="AD230" s="101"/>
      <c r="AE230" s="101"/>
      <c r="AF230" s="101"/>
      <c r="AG230" s="101"/>
      <c r="AH230" s="30"/>
      <c r="AI230" s="30"/>
      <c r="AJ230" s="101"/>
      <c r="AK230" s="30"/>
      <c r="AL230" s="101"/>
      <c r="AM230" s="101"/>
      <c r="AN230" s="101"/>
      <c r="AO230" s="101"/>
      <c r="AP230" s="101"/>
      <c r="AQ230" s="111"/>
      <c r="AR230" s="126"/>
      <c r="AS230" s="42"/>
      <c r="AT230" s="42"/>
      <c r="AU230" s="42"/>
      <c r="AV230" s="42"/>
      <c r="AW230" s="42"/>
      <c r="AX230" s="42"/>
    </row>
    <row r="231" spans="1:85" s="4" customFormat="1" ht="64.5" customHeight="1" outlineLevel="1" x14ac:dyDescent="0.25">
      <c r="A231" s="25">
        <f>A229+1</f>
        <v>189</v>
      </c>
      <c r="B231" s="26" t="s">
        <v>19</v>
      </c>
      <c r="C231" s="27" t="s">
        <v>206</v>
      </c>
      <c r="D231" s="28" t="s">
        <v>18</v>
      </c>
      <c r="E231" s="29">
        <f t="shared" si="215"/>
        <v>114.6</v>
      </c>
      <c r="F231" s="29">
        <v>0</v>
      </c>
      <c r="G231" s="30">
        <f t="shared" si="219"/>
        <v>0</v>
      </c>
      <c r="H231" s="30"/>
      <c r="I231" s="30">
        <f t="shared" si="224"/>
        <v>0</v>
      </c>
      <c r="J231" s="31">
        <v>0</v>
      </c>
      <c r="K231" s="30">
        <f t="shared" si="225"/>
        <v>0</v>
      </c>
      <c r="L231" s="30"/>
      <c r="M231" s="30">
        <f t="shared" si="226"/>
        <v>0</v>
      </c>
      <c r="N231" s="29">
        <v>114.6</v>
      </c>
      <c r="O231" s="30">
        <f t="shared" si="227"/>
        <v>0</v>
      </c>
      <c r="P231" s="30"/>
      <c r="Q231" s="30">
        <f t="shared" si="228"/>
        <v>0</v>
      </c>
      <c r="R231" s="30">
        <v>0</v>
      </c>
      <c r="S231" s="30">
        <f t="shared" ref="S231:S233" si="247">T231/1.18</f>
        <v>0</v>
      </c>
      <c r="T231" s="30"/>
      <c r="U231" s="30">
        <f t="shared" si="230"/>
        <v>0</v>
      </c>
      <c r="V231" s="29">
        <v>0</v>
      </c>
      <c r="W231" s="30">
        <f t="shared" si="221"/>
        <v>0</v>
      </c>
      <c r="X231" s="30"/>
      <c r="Y231" s="30">
        <f t="shared" si="231"/>
        <v>0</v>
      </c>
      <c r="Z231" s="31">
        <v>0</v>
      </c>
      <c r="AA231" s="30">
        <f t="shared" si="222"/>
        <v>0</v>
      </c>
      <c r="AB231" s="58"/>
      <c r="AC231" s="30">
        <f t="shared" si="232"/>
        <v>0</v>
      </c>
      <c r="AD231" s="31">
        <v>0</v>
      </c>
      <c r="AE231" s="30">
        <f t="shared" si="233"/>
        <v>0</v>
      </c>
      <c r="AF231" s="30"/>
      <c r="AG231" s="30">
        <f t="shared" si="234"/>
        <v>0</v>
      </c>
      <c r="AH231" s="30">
        <f t="shared" si="216"/>
        <v>0</v>
      </c>
      <c r="AI231" s="30">
        <f t="shared" si="242"/>
        <v>0</v>
      </c>
      <c r="AJ231" s="31">
        <v>0</v>
      </c>
      <c r="AK231" s="30" t="s">
        <v>314</v>
      </c>
      <c r="AL231" s="32">
        <v>0</v>
      </c>
      <c r="AM231" s="32">
        <f t="shared" si="235"/>
        <v>0</v>
      </c>
      <c r="AN231" s="32"/>
      <c r="AO231" s="32">
        <f t="shared" si="236"/>
        <v>0</v>
      </c>
      <c r="AP231" s="32">
        <f t="shared" si="240"/>
        <v>0</v>
      </c>
      <c r="AQ231" s="33">
        <f t="shared" si="214"/>
        <v>0</v>
      </c>
      <c r="AR231" s="82">
        <f t="shared" si="214"/>
        <v>0</v>
      </c>
      <c r="AS231" s="9"/>
      <c r="AT231" s="9"/>
      <c r="AU231" s="9"/>
      <c r="AV231" s="9"/>
      <c r="AW231" s="65"/>
      <c r="AX231" s="65"/>
      <c r="AY231" s="62"/>
      <c r="AZ231" s="62"/>
      <c r="BA231" s="62"/>
      <c r="BB231" s="62"/>
      <c r="BC231" s="62"/>
      <c r="BD231" s="62"/>
      <c r="BE231" s="62"/>
      <c r="BF231" s="62"/>
      <c r="BG231" s="62"/>
      <c r="BH231" s="62"/>
      <c r="BI231" s="62"/>
      <c r="BJ231" s="62"/>
      <c r="BK231" s="62"/>
      <c r="BL231" s="62"/>
      <c r="BM231" s="62"/>
      <c r="BN231" s="62"/>
      <c r="BO231" s="62"/>
      <c r="BP231" s="62"/>
      <c r="BQ231" s="62"/>
      <c r="BR231" s="62"/>
      <c r="BS231" s="62"/>
      <c r="BT231" s="62"/>
      <c r="BU231" s="62"/>
      <c r="BV231" s="62"/>
      <c r="BW231" s="62"/>
      <c r="BX231" s="62"/>
      <c r="BY231" s="62"/>
      <c r="BZ231" s="62"/>
      <c r="CA231" s="62"/>
      <c r="CB231" s="62"/>
      <c r="CC231" s="62"/>
      <c r="CD231" s="62"/>
      <c r="CE231" s="62"/>
      <c r="CF231" s="62"/>
      <c r="CG231" s="62"/>
    </row>
    <row r="232" spans="1:85" s="4" customFormat="1" ht="64.5" customHeight="1" outlineLevel="1" x14ac:dyDescent="0.25">
      <c r="A232" s="25">
        <f>A231+1</f>
        <v>190</v>
      </c>
      <c r="B232" s="26" t="s">
        <v>19</v>
      </c>
      <c r="C232" s="27" t="s">
        <v>207</v>
      </c>
      <c r="D232" s="28" t="s">
        <v>18</v>
      </c>
      <c r="E232" s="29">
        <f t="shared" si="215"/>
        <v>89.6</v>
      </c>
      <c r="F232" s="29">
        <v>0</v>
      </c>
      <c r="G232" s="30">
        <f t="shared" si="219"/>
        <v>0</v>
      </c>
      <c r="H232" s="30"/>
      <c r="I232" s="30">
        <f t="shared" si="224"/>
        <v>0</v>
      </c>
      <c r="J232" s="31">
        <v>0</v>
      </c>
      <c r="K232" s="30">
        <f t="shared" si="225"/>
        <v>0</v>
      </c>
      <c r="L232" s="30"/>
      <c r="M232" s="30">
        <f t="shared" si="226"/>
        <v>0</v>
      </c>
      <c r="N232" s="29">
        <v>89.6</v>
      </c>
      <c r="O232" s="30">
        <f t="shared" si="227"/>
        <v>0</v>
      </c>
      <c r="P232" s="30"/>
      <c r="Q232" s="30">
        <f t="shared" si="228"/>
        <v>0</v>
      </c>
      <c r="R232" s="30">
        <v>0</v>
      </c>
      <c r="S232" s="30">
        <f t="shared" si="247"/>
        <v>0</v>
      </c>
      <c r="T232" s="30"/>
      <c r="U232" s="30">
        <f t="shared" si="230"/>
        <v>0</v>
      </c>
      <c r="V232" s="29">
        <v>0</v>
      </c>
      <c r="W232" s="30">
        <f t="shared" si="221"/>
        <v>0</v>
      </c>
      <c r="X232" s="30"/>
      <c r="Y232" s="30">
        <f t="shared" si="231"/>
        <v>0</v>
      </c>
      <c r="Z232" s="31">
        <v>0</v>
      </c>
      <c r="AA232" s="30">
        <f t="shared" si="222"/>
        <v>0</v>
      </c>
      <c r="AB232" s="58"/>
      <c r="AC232" s="30">
        <f t="shared" si="232"/>
        <v>0</v>
      </c>
      <c r="AD232" s="31">
        <v>0</v>
      </c>
      <c r="AE232" s="30">
        <f t="shared" si="233"/>
        <v>0</v>
      </c>
      <c r="AF232" s="30"/>
      <c r="AG232" s="30">
        <f t="shared" si="234"/>
        <v>0</v>
      </c>
      <c r="AH232" s="30">
        <f t="shared" si="216"/>
        <v>0</v>
      </c>
      <c r="AI232" s="30">
        <f t="shared" si="242"/>
        <v>0</v>
      </c>
      <c r="AJ232" s="31">
        <v>0</v>
      </c>
      <c r="AK232" s="30" t="s">
        <v>314</v>
      </c>
      <c r="AL232" s="32">
        <v>0</v>
      </c>
      <c r="AM232" s="32">
        <f t="shared" si="235"/>
        <v>0</v>
      </c>
      <c r="AN232" s="32"/>
      <c r="AO232" s="32">
        <f t="shared" si="236"/>
        <v>0</v>
      </c>
      <c r="AP232" s="32">
        <f t="shared" si="240"/>
        <v>0</v>
      </c>
      <c r="AQ232" s="33">
        <f t="shared" si="214"/>
        <v>0</v>
      </c>
      <c r="AR232" s="82">
        <f t="shared" si="214"/>
        <v>0</v>
      </c>
      <c r="AS232" s="9"/>
      <c r="AT232" s="9"/>
      <c r="AU232" s="9"/>
      <c r="AV232" s="9"/>
      <c r="AW232" s="65"/>
      <c r="AX232" s="65"/>
      <c r="AY232" s="62"/>
      <c r="AZ232" s="62"/>
      <c r="BA232" s="62"/>
      <c r="BB232" s="62"/>
      <c r="BC232" s="62"/>
      <c r="BD232" s="62"/>
      <c r="BE232" s="62"/>
      <c r="BF232" s="62"/>
      <c r="BG232" s="62"/>
      <c r="BH232" s="62"/>
      <c r="BI232" s="62"/>
      <c r="BJ232" s="62"/>
      <c r="BK232" s="62"/>
      <c r="BL232" s="62"/>
      <c r="BM232" s="62"/>
      <c r="BN232" s="62"/>
      <c r="BO232" s="62"/>
      <c r="BP232" s="62"/>
      <c r="BQ232" s="62"/>
      <c r="BR232" s="62"/>
      <c r="BS232" s="62"/>
      <c r="BT232" s="62"/>
      <c r="BU232" s="62"/>
      <c r="BV232" s="62"/>
      <c r="BW232" s="62"/>
      <c r="BX232" s="62"/>
      <c r="BY232" s="62"/>
      <c r="BZ232" s="62"/>
      <c r="CA232" s="62"/>
      <c r="CB232" s="62"/>
      <c r="CC232" s="62"/>
      <c r="CD232" s="62"/>
      <c r="CE232" s="62"/>
      <c r="CF232" s="62"/>
      <c r="CG232" s="62"/>
    </row>
    <row r="233" spans="1:85" s="4" customFormat="1" ht="64.5" customHeight="1" outlineLevel="1" x14ac:dyDescent="0.25">
      <c r="A233" s="25">
        <f t="shared" ref="A233:A253" si="248">A232+1</f>
        <v>191</v>
      </c>
      <c r="B233" s="26" t="s">
        <v>19</v>
      </c>
      <c r="C233" s="27" t="s">
        <v>208</v>
      </c>
      <c r="D233" s="28" t="s">
        <v>18</v>
      </c>
      <c r="E233" s="29">
        <f t="shared" si="215"/>
        <v>24.2</v>
      </c>
      <c r="F233" s="29">
        <v>0</v>
      </c>
      <c r="G233" s="30">
        <f t="shared" si="219"/>
        <v>0</v>
      </c>
      <c r="H233" s="30"/>
      <c r="I233" s="30">
        <f t="shared" si="224"/>
        <v>0</v>
      </c>
      <c r="J233" s="31">
        <v>0</v>
      </c>
      <c r="K233" s="30">
        <f t="shared" si="225"/>
        <v>0</v>
      </c>
      <c r="L233" s="30"/>
      <c r="M233" s="30">
        <f t="shared" si="226"/>
        <v>0</v>
      </c>
      <c r="N233" s="29">
        <v>24.2</v>
      </c>
      <c r="O233" s="30">
        <f t="shared" si="227"/>
        <v>0</v>
      </c>
      <c r="P233" s="30"/>
      <c r="Q233" s="30">
        <f t="shared" si="228"/>
        <v>0</v>
      </c>
      <c r="R233" s="30">
        <v>0</v>
      </c>
      <c r="S233" s="30">
        <f t="shared" si="247"/>
        <v>0</v>
      </c>
      <c r="T233" s="30"/>
      <c r="U233" s="30">
        <f t="shared" si="230"/>
        <v>0</v>
      </c>
      <c r="V233" s="29">
        <v>0</v>
      </c>
      <c r="W233" s="30">
        <f t="shared" si="221"/>
        <v>0</v>
      </c>
      <c r="X233" s="30"/>
      <c r="Y233" s="30">
        <f t="shared" si="231"/>
        <v>0</v>
      </c>
      <c r="Z233" s="31">
        <v>0</v>
      </c>
      <c r="AA233" s="30">
        <f t="shared" si="222"/>
        <v>0</v>
      </c>
      <c r="AB233" s="58"/>
      <c r="AC233" s="30">
        <f t="shared" si="232"/>
        <v>0</v>
      </c>
      <c r="AD233" s="31">
        <v>0</v>
      </c>
      <c r="AE233" s="30">
        <f t="shared" si="233"/>
        <v>0</v>
      </c>
      <c r="AF233" s="30"/>
      <c r="AG233" s="30">
        <f t="shared" si="234"/>
        <v>0</v>
      </c>
      <c r="AH233" s="30">
        <f t="shared" si="216"/>
        <v>0</v>
      </c>
      <c r="AI233" s="30">
        <f t="shared" si="242"/>
        <v>0</v>
      </c>
      <c r="AJ233" s="31">
        <v>0</v>
      </c>
      <c r="AK233" s="30" t="s">
        <v>314</v>
      </c>
      <c r="AL233" s="32">
        <v>0</v>
      </c>
      <c r="AM233" s="32">
        <f t="shared" si="235"/>
        <v>0</v>
      </c>
      <c r="AN233" s="32"/>
      <c r="AO233" s="32">
        <f t="shared" si="236"/>
        <v>0</v>
      </c>
      <c r="AP233" s="32">
        <f t="shared" si="240"/>
        <v>0</v>
      </c>
      <c r="AQ233" s="33">
        <f t="shared" si="214"/>
        <v>0</v>
      </c>
      <c r="AR233" s="82">
        <f t="shared" si="214"/>
        <v>0</v>
      </c>
      <c r="AS233" s="9"/>
      <c r="AT233" s="9"/>
      <c r="AU233" s="9"/>
      <c r="AV233" s="9"/>
      <c r="AW233" s="65"/>
      <c r="AX233" s="65"/>
      <c r="AY233" s="62"/>
      <c r="AZ233" s="62"/>
      <c r="BA233" s="62"/>
      <c r="BB233" s="62"/>
      <c r="BC233" s="62"/>
      <c r="BD233" s="62"/>
      <c r="BE233" s="62"/>
      <c r="BF233" s="62"/>
      <c r="BG233" s="62"/>
      <c r="BH233" s="62"/>
      <c r="BI233" s="62"/>
      <c r="BJ233" s="62"/>
      <c r="BK233" s="62"/>
      <c r="BL233" s="62"/>
      <c r="BM233" s="62"/>
      <c r="BN233" s="62"/>
      <c r="BO233" s="62"/>
      <c r="BP233" s="62"/>
      <c r="BQ233" s="62"/>
      <c r="BR233" s="62"/>
      <c r="BS233" s="62"/>
      <c r="BT233" s="62"/>
      <c r="BU233" s="62"/>
      <c r="BV233" s="62"/>
      <c r="BW233" s="62"/>
      <c r="BX233" s="62"/>
      <c r="BY233" s="62"/>
      <c r="BZ233" s="62"/>
      <c r="CA233" s="62"/>
      <c r="CB233" s="62"/>
      <c r="CC233" s="62"/>
      <c r="CD233" s="62"/>
      <c r="CE233" s="62"/>
      <c r="CF233" s="62"/>
      <c r="CG233" s="62"/>
    </row>
    <row r="234" spans="1:85" s="4" customFormat="1" ht="64.5" customHeight="1" outlineLevel="1" x14ac:dyDescent="0.25">
      <c r="A234" s="25">
        <f t="shared" si="248"/>
        <v>192</v>
      </c>
      <c r="B234" s="26" t="s">
        <v>19</v>
      </c>
      <c r="C234" s="27" t="s">
        <v>209</v>
      </c>
      <c r="D234" s="28" t="s">
        <v>18</v>
      </c>
      <c r="E234" s="29">
        <f t="shared" si="215"/>
        <v>10</v>
      </c>
      <c r="F234" s="29">
        <v>0</v>
      </c>
      <c r="G234" s="30">
        <f t="shared" si="219"/>
        <v>0</v>
      </c>
      <c r="H234" s="30"/>
      <c r="I234" s="30">
        <f t="shared" si="224"/>
        <v>0</v>
      </c>
      <c r="J234" s="31">
        <v>0</v>
      </c>
      <c r="K234" s="30">
        <f t="shared" si="225"/>
        <v>0</v>
      </c>
      <c r="L234" s="30"/>
      <c r="M234" s="30">
        <f t="shared" si="226"/>
        <v>0</v>
      </c>
      <c r="N234" s="29">
        <v>10</v>
      </c>
      <c r="O234" s="30">
        <f t="shared" si="227"/>
        <v>0</v>
      </c>
      <c r="P234" s="30"/>
      <c r="Q234" s="30">
        <f t="shared" si="228"/>
        <v>0</v>
      </c>
      <c r="R234" s="30">
        <v>0</v>
      </c>
      <c r="S234" s="30">
        <v>4.2</v>
      </c>
      <c r="T234" s="30"/>
      <c r="U234" s="30">
        <f t="shared" si="230"/>
        <v>0</v>
      </c>
      <c r="V234" s="29">
        <v>0</v>
      </c>
      <c r="W234" s="30">
        <f t="shared" si="221"/>
        <v>0</v>
      </c>
      <c r="X234" s="30"/>
      <c r="Y234" s="30">
        <f t="shared" si="231"/>
        <v>0</v>
      </c>
      <c r="Z234" s="31">
        <v>0</v>
      </c>
      <c r="AA234" s="30">
        <f t="shared" si="222"/>
        <v>0</v>
      </c>
      <c r="AB234" s="58"/>
      <c r="AC234" s="30">
        <f t="shared" si="232"/>
        <v>0</v>
      </c>
      <c r="AD234" s="31">
        <v>0</v>
      </c>
      <c r="AE234" s="30">
        <f t="shared" si="233"/>
        <v>0</v>
      </c>
      <c r="AF234" s="30"/>
      <c r="AG234" s="30">
        <f t="shared" si="234"/>
        <v>0</v>
      </c>
      <c r="AH234" s="30">
        <f t="shared" si="216"/>
        <v>0</v>
      </c>
      <c r="AI234" s="30">
        <f t="shared" si="242"/>
        <v>0</v>
      </c>
      <c r="AJ234" s="31">
        <v>0</v>
      </c>
      <c r="AK234" s="30" t="s">
        <v>314</v>
      </c>
      <c r="AL234" s="32">
        <v>0</v>
      </c>
      <c r="AM234" s="32">
        <f t="shared" si="235"/>
        <v>0</v>
      </c>
      <c r="AN234" s="32"/>
      <c r="AO234" s="32">
        <f t="shared" si="236"/>
        <v>0</v>
      </c>
      <c r="AP234" s="32">
        <f t="shared" si="240"/>
        <v>0</v>
      </c>
      <c r="AQ234" s="33">
        <f t="shared" si="214"/>
        <v>0</v>
      </c>
      <c r="AR234" s="82">
        <f t="shared" si="214"/>
        <v>0</v>
      </c>
      <c r="AS234" s="9"/>
      <c r="AT234" s="9"/>
      <c r="AU234" s="9"/>
      <c r="AV234" s="9"/>
      <c r="AW234" s="65"/>
      <c r="AX234" s="65"/>
      <c r="AY234" s="62"/>
      <c r="AZ234" s="62"/>
      <c r="BA234" s="62"/>
      <c r="BB234" s="62"/>
      <c r="BC234" s="62"/>
      <c r="BD234" s="62"/>
      <c r="BE234" s="62"/>
      <c r="BF234" s="62"/>
      <c r="BG234" s="62"/>
      <c r="BH234" s="62"/>
      <c r="BI234" s="62"/>
      <c r="BJ234" s="62"/>
      <c r="BK234" s="62"/>
      <c r="BL234" s="62"/>
      <c r="BM234" s="62"/>
      <c r="BN234" s="62"/>
      <c r="BO234" s="62"/>
      <c r="BP234" s="62"/>
      <c r="BQ234" s="62"/>
      <c r="BR234" s="62"/>
      <c r="BS234" s="62"/>
      <c r="BT234" s="62"/>
      <c r="BU234" s="62"/>
      <c r="BV234" s="62"/>
      <c r="BW234" s="62"/>
      <c r="BX234" s="62"/>
      <c r="BY234" s="62"/>
      <c r="BZ234" s="62"/>
      <c r="CA234" s="62"/>
      <c r="CB234" s="62"/>
      <c r="CC234" s="62"/>
      <c r="CD234" s="62"/>
      <c r="CE234" s="62"/>
      <c r="CF234" s="62"/>
      <c r="CG234" s="62"/>
    </row>
    <row r="235" spans="1:85" s="4" customFormat="1" ht="64.5" customHeight="1" outlineLevel="1" x14ac:dyDescent="0.25">
      <c r="A235" s="25">
        <f t="shared" si="248"/>
        <v>193</v>
      </c>
      <c r="B235" s="26" t="s">
        <v>19</v>
      </c>
      <c r="C235" s="27" t="s">
        <v>210</v>
      </c>
      <c r="D235" s="28" t="s">
        <v>18</v>
      </c>
      <c r="E235" s="29">
        <f t="shared" si="215"/>
        <v>48.900000000000006</v>
      </c>
      <c r="F235" s="29">
        <v>0</v>
      </c>
      <c r="G235" s="30">
        <f t="shared" si="219"/>
        <v>0</v>
      </c>
      <c r="H235" s="30"/>
      <c r="I235" s="30">
        <f t="shared" si="224"/>
        <v>0</v>
      </c>
      <c r="J235" s="31">
        <v>0</v>
      </c>
      <c r="K235" s="30">
        <f t="shared" si="225"/>
        <v>0</v>
      </c>
      <c r="L235" s="30"/>
      <c r="M235" s="30">
        <f t="shared" si="226"/>
        <v>0</v>
      </c>
      <c r="N235" s="29">
        <v>42.7</v>
      </c>
      <c r="O235" s="30">
        <f t="shared" si="227"/>
        <v>0</v>
      </c>
      <c r="P235" s="30"/>
      <c r="Q235" s="30">
        <f t="shared" si="228"/>
        <v>0</v>
      </c>
      <c r="R235" s="30">
        <v>0</v>
      </c>
      <c r="S235" s="30">
        <f t="shared" ref="S235:S237" si="249">T235/1.18</f>
        <v>0</v>
      </c>
      <c r="T235" s="30"/>
      <c r="U235" s="30">
        <f t="shared" si="230"/>
        <v>0</v>
      </c>
      <c r="V235" s="29">
        <v>0</v>
      </c>
      <c r="W235" s="30">
        <f t="shared" si="221"/>
        <v>0</v>
      </c>
      <c r="X235" s="30"/>
      <c r="Y235" s="30">
        <f t="shared" si="231"/>
        <v>0</v>
      </c>
      <c r="Z235" s="31">
        <v>0</v>
      </c>
      <c r="AA235" s="30">
        <f t="shared" si="222"/>
        <v>0</v>
      </c>
      <c r="AB235" s="58"/>
      <c r="AC235" s="30">
        <f t="shared" si="232"/>
        <v>0</v>
      </c>
      <c r="AD235" s="31">
        <v>6.2</v>
      </c>
      <c r="AE235" s="30">
        <f t="shared" si="233"/>
        <v>0</v>
      </c>
      <c r="AF235" s="30"/>
      <c r="AG235" s="30">
        <f t="shared" si="234"/>
        <v>0</v>
      </c>
      <c r="AH235" s="30">
        <f t="shared" si="216"/>
        <v>0</v>
      </c>
      <c r="AI235" s="30">
        <f t="shared" si="242"/>
        <v>0</v>
      </c>
      <c r="AJ235" s="31">
        <v>0</v>
      </c>
      <c r="AK235" s="30" t="s">
        <v>314</v>
      </c>
      <c r="AL235" s="32">
        <v>0</v>
      </c>
      <c r="AM235" s="32">
        <f t="shared" si="235"/>
        <v>0</v>
      </c>
      <c r="AN235" s="32"/>
      <c r="AO235" s="32">
        <f t="shared" si="236"/>
        <v>0</v>
      </c>
      <c r="AP235" s="32">
        <f t="shared" si="240"/>
        <v>0</v>
      </c>
      <c r="AQ235" s="33">
        <f t="shared" si="214"/>
        <v>0</v>
      </c>
      <c r="AR235" s="82">
        <f t="shared" si="214"/>
        <v>0</v>
      </c>
      <c r="AS235" s="9"/>
      <c r="AT235" s="9"/>
      <c r="AU235" s="9"/>
      <c r="AV235" s="9"/>
      <c r="AW235" s="65"/>
      <c r="AX235" s="65"/>
      <c r="AY235" s="62"/>
      <c r="AZ235" s="62"/>
      <c r="BA235" s="62"/>
      <c r="BB235" s="62"/>
      <c r="BC235" s="62"/>
      <c r="BD235" s="62"/>
      <c r="BE235" s="62"/>
      <c r="BF235" s="62"/>
      <c r="BG235" s="62"/>
      <c r="BH235" s="62"/>
      <c r="BI235" s="62"/>
      <c r="BJ235" s="62"/>
      <c r="BK235" s="62"/>
      <c r="BL235" s="62"/>
      <c r="BM235" s="62"/>
      <c r="BN235" s="62"/>
      <c r="BO235" s="62"/>
      <c r="BP235" s="62"/>
      <c r="BQ235" s="62"/>
      <c r="BR235" s="62"/>
      <c r="BS235" s="62"/>
      <c r="BT235" s="62"/>
      <c r="BU235" s="62"/>
      <c r="BV235" s="62"/>
      <c r="BW235" s="62"/>
      <c r="BX235" s="62"/>
      <c r="BY235" s="62"/>
      <c r="BZ235" s="62"/>
      <c r="CA235" s="62"/>
      <c r="CB235" s="62"/>
      <c r="CC235" s="62"/>
      <c r="CD235" s="62"/>
      <c r="CE235" s="62"/>
      <c r="CF235" s="62"/>
      <c r="CG235" s="62"/>
    </row>
    <row r="236" spans="1:85" s="4" customFormat="1" ht="64.5" customHeight="1" outlineLevel="1" x14ac:dyDescent="0.25">
      <c r="A236" s="25">
        <f t="shared" si="248"/>
        <v>194</v>
      </c>
      <c r="B236" s="26" t="s">
        <v>19</v>
      </c>
      <c r="C236" s="27" t="s">
        <v>211</v>
      </c>
      <c r="D236" s="28" t="s">
        <v>18</v>
      </c>
      <c r="E236" s="29">
        <f t="shared" si="215"/>
        <v>69</v>
      </c>
      <c r="F236" s="29">
        <v>0</v>
      </c>
      <c r="G236" s="30">
        <f t="shared" si="219"/>
        <v>0</v>
      </c>
      <c r="H236" s="30"/>
      <c r="I236" s="30">
        <f t="shared" si="224"/>
        <v>0</v>
      </c>
      <c r="J236" s="31">
        <v>0</v>
      </c>
      <c r="K236" s="30">
        <f t="shared" si="225"/>
        <v>0</v>
      </c>
      <c r="L236" s="30"/>
      <c r="M236" s="30">
        <f t="shared" si="226"/>
        <v>0</v>
      </c>
      <c r="N236" s="29">
        <v>63.2</v>
      </c>
      <c r="O236" s="30">
        <f t="shared" si="227"/>
        <v>0</v>
      </c>
      <c r="P236" s="30"/>
      <c r="Q236" s="30">
        <f t="shared" si="228"/>
        <v>0</v>
      </c>
      <c r="R236" s="30">
        <v>0</v>
      </c>
      <c r="S236" s="30">
        <f t="shared" si="249"/>
        <v>0</v>
      </c>
      <c r="T236" s="30"/>
      <c r="U236" s="30">
        <f t="shared" si="230"/>
        <v>0</v>
      </c>
      <c r="V236" s="29">
        <v>5.8</v>
      </c>
      <c r="W236" s="30">
        <f t="shared" si="221"/>
        <v>0</v>
      </c>
      <c r="X236" s="30"/>
      <c r="Y236" s="30">
        <f t="shared" si="231"/>
        <v>0</v>
      </c>
      <c r="Z236" s="31">
        <v>0</v>
      </c>
      <c r="AA236" s="30">
        <f t="shared" si="222"/>
        <v>0</v>
      </c>
      <c r="AB236" s="58"/>
      <c r="AC236" s="30">
        <f t="shared" si="232"/>
        <v>0</v>
      </c>
      <c r="AD236" s="31">
        <v>0</v>
      </c>
      <c r="AE236" s="30">
        <f t="shared" si="233"/>
        <v>0</v>
      </c>
      <c r="AF236" s="30"/>
      <c r="AG236" s="30">
        <f t="shared" si="234"/>
        <v>0</v>
      </c>
      <c r="AH236" s="30">
        <f t="shared" si="216"/>
        <v>0</v>
      </c>
      <c r="AI236" s="30">
        <f t="shared" si="242"/>
        <v>0</v>
      </c>
      <c r="AJ236" s="31">
        <v>0</v>
      </c>
      <c r="AK236" s="30" t="s">
        <v>314</v>
      </c>
      <c r="AL236" s="32">
        <v>0</v>
      </c>
      <c r="AM236" s="32">
        <f t="shared" si="235"/>
        <v>0</v>
      </c>
      <c r="AN236" s="32"/>
      <c r="AO236" s="32">
        <f t="shared" si="236"/>
        <v>0</v>
      </c>
      <c r="AP236" s="32">
        <f t="shared" si="240"/>
        <v>0</v>
      </c>
      <c r="AQ236" s="33">
        <f t="shared" si="214"/>
        <v>0</v>
      </c>
      <c r="AR236" s="82">
        <f t="shared" si="214"/>
        <v>0</v>
      </c>
      <c r="AS236" s="9"/>
      <c r="AT236" s="9"/>
      <c r="AU236" s="9"/>
      <c r="AV236" s="9"/>
      <c r="AW236" s="65"/>
      <c r="AX236" s="65"/>
      <c r="AY236" s="62"/>
      <c r="AZ236" s="62"/>
      <c r="BA236" s="62"/>
      <c r="BB236" s="62"/>
      <c r="BC236" s="62"/>
      <c r="BD236" s="62"/>
      <c r="BE236" s="62"/>
      <c r="BF236" s="62"/>
      <c r="BG236" s="62"/>
      <c r="BH236" s="62"/>
      <c r="BI236" s="62"/>
      <c r="BJ236" s="62"/>
      <c r="BK236" s="62"/>
      <c r="BL236" s="62"/>
      <c r="BM236" s="62"/>
      <c r="BN236" s="62"/>
      <c r="BO236" s="62"/>
      <c r="BP236" s="62"/>
      <c r="BQ236" s="62"/>
      <c r="BR236" s="62"/>
      <c r="BS236" s="62"/>
      <c r="BT236" s="62"/>
      <c r="BU236" s="62"/>
      <c r="BV236" s="62"/>
      <c r="BW236" s="62"/>
      <c r="BX236" s="62"/>
      <c r="BY236" s="62"/>
      <c r="BZ236" s="62"/>
      <c r="CA236" s="62"/>
      <c r="CB236" s="62"/>
      <c r="CC236" s="62"/>
      <c r="CD236" s="62"/>
      <c r="CE236" s="62"/>
      <c r="CF236" s="62"/>
      <c r="CG236" s="62"/>
    </row>
    <row r="237" spans="1:85" s="4" customFormat="1" ht="64.5" customHeight="1" outlineLevel="1" x14ac:dyDescent="0.25">
      <c r="A237" s="25">
        <f t="shared" si="248"/>
        <v>195</v>
      </c>
      <c r="B237" s="26" t="s">
        <v>19</v>
      </c>
      <c r="C237" s="27" t="s">
        <v>212</v>
      </c>
      <c r="D237" s="28" t="s">
        <v>18</v>
      </c>
      <c r="E237" s="29">
        <f t="shared" si="215"/>
        <v>105.75</v>
      </c>
      <c r="F237" s="29">
        <v>0</v>
      </c>
      <c r="G237" s="30">
        <f t="shared" si="219"/>
        <v>0</v>
      </c>
      <c r="H237" s="30"/>
      <c r="I237" s="30">
        <f t="shared" si="224"/>
        <v>0</v>
      </c>
      <c r="J237" s="31">
        <v>0</v>
      </c>
      <c r="K237" s="30">
        <f t="shared" si="225"/>
        <v>0</v>
      </c>
      <c r="L237" s="30"/>
      <c r="M237" s="30">
        <f t="shared" si="226"/>
        <v>0</v>
      </c>
      <c r="N237" s="29">
        <v>43.4</v>
      </c>
      <c r="O237" s="30">
        <f t="shared" si="227"/>
        <v>0</v>
      </c>
      <c r="P237" s="30"/>
      <c r="Q237" s="30">
        <f t="shared" si="228"/>
        <v>0</v>
      </c>
      <c r="R237" s="30">
        <v>0</v>
      </c>
      <c r="S237" s="30">
        <f t="shared" si="249"/>
        <v>0</v>
      </c>
      <c r="T237" s="30"/>
      <c r="U237" s="30">
        <f t="shared" si="230"/>
        <v>0</v>
      </c>
      <c r="V237" s="29">
        <f>4.6+4+44.2+3.8+4.25</f>
        <v>60.85</v>
      </c>
      <c r="W237" s="30">
        <f t="shared" si="221"/>
        <v>0</v>
      </c>
      <c r="X237" s="30"/>
      <c r="Y237" s="30">
        <f t="shared" si="231"/>
        <v>0</v>
      </c>
      <c r="Z237" s="31">
        <v>0</v>
      </c>
      <c r="AA237" s="30">
        <f t="shared" si="222"/>
        <v>0</v>
      </c>
      <c r="AB237" s="58"/>
      <c r="AC237" s="30">
        <f t="shared" si="232"/>
        <v>0</v>
      </c>
      <c r="AD237" s="31">
        <v>1.5</v>
      </c>
      <c r="AE237" s="30">
        <f t="shared" si="233"/>
        <v>0</v>
      </c>
      <c r="AF237" s="30"/>
      <c r="AG237" s="30">
        <f t="shared" si="234"/>
        <v>0</v>
      </c>
      <c r="AH237" s="30">
        <f t="shared" si="216"/>
        <v>0</v>
      </c>
      <c r="AI237" s="30">
        <f t="shared" si="242"/>
        <v>0</v>
      </c>
      <c r="AJ237" s="31">
        <v>0</v>
      </c>
      <c r="AK237" s="30" t="s">
        <v>314</v>
      </c>
      <c r="AL237" s="32">
        <v>0</v>
      </c>
      <c r="AM237" s="32">
        <f t="shared" si="235"/>
        <v>0</v>
      </c>
      <c r="AN237" s="32"/>
      <c r="AO237" s="32">
        <f t="shared" si="236"/>
        <v>0</v>
      </c>
      <c r="AP237" s="32">
        <f t="shared" si="240"/>
        <v>0</v>
      </c>
      <c r="AQ237" s="33">
        <f t="shared" si="214"/>
        <v>0</v>
      </c>
      <c r="AR237" s="82">
        <f t="shared" si="214"/>
        <v>0</v>
      </c>
      <c r="AS237" s="9"/>
      <c r="AT237" s="9"/>
      <c r="AU237" s="9"/>
      <c r="AV237" s="9"/>
      <c r="AW237" s="65"/>
      <c r="AX237" s="65"/>
      <c r="AY237" s="62"/>
      <c r="AZ237" s="62"/>
      <c r="BA237" s="62"/>
      <c r="BB237" s="62"/>
      <c r="BC237" s="62"/>
      <c r="BD237" s="62"/>
      <c r="BE237" s="62"/>
      <c r="BF237" s="62"/>
      <c r="BG237" s="62"/>
      <c r="BH237" s="62"/>
      <c r="BI237" s="62"/>
      <c r="BJ237" s="62"/>
      <c r="BK237" s="62"/>
      <c r="BL237" s="62"/>
      <c r="BM237" s="62"/>
      <c r="BN237" s="62"/>
      <c r="BO237" s="62"/>
      <c r="BP237" s="62"/>
      <c r="BQ237" s="62"/>
      <c r="BR237" s="62"/>
      <c r="BS237" s="62"/>
      <c r="BT237" s="62"/>
      <c r="BU237" s="62"/>
      <c r="BV237" s="62"/>
      <c r="BW237" s="62"/>
      <c r="BX237" s="62"/>
      <c r="BY237" s="62"/>
      <c r="BZ237" s="62"/>
      <c r="CA237" s="62"/>
      <c r="CB237" s="62"/>
      <c r="CC237" s="62"/>
      <c r="CD237" s="62"/>
      <c r="CE237" s="62"/>
      <c r="CF237" s="62"/>
      <c r="CG237" s="62"/>
    </row>
    <row r="238" spans="1:85" s="4" customFormat="1" ht="64.5" customHeight="1" outlineLevel="1" x14ac:dyDescent="0.25">
      <c r="A238" s="25">
        <f t="shared" si="248"/>
        <v>196</v>
      </c>
      <c r="B238" s="26" t="s">
        <v>19</v>
      </c>
      <c r="C238" s="27" t="s">
        <v>213</v>
      </c>
      <c r="D238" s="28" t="s">
        <v>18</v>
      </c>
      <c r="E238" s="29">
        <f t="shared" si="215"/>
        <v>134.75</v>
      </c>
      <c r="F238" s="29">
        <v>0</v>
      </c>
      <c r="G238" s="30">
        <f t="shared" si="219"/>
        <v>0</v>
      </c>
      <c r="H238" s="30"/>
      <c r="I238" s="30">
        <f t="shared" si="224"/>
        <v>0</v>
      </c>
      <c r="J238" s="31">
        <v>0</v>
      </c>
      <c r="K238" s="30">
        <f t="shared" si="225"/>
        <v>0</v>
      </c>
      <c r="L238" s="30"/>
      <c r="M238" s="30">
        <f t="shared" si="226"/>
        <v>0</v>
      </c>
      <c r="N238" s="29">
        <v>115.95</v>
      </c>
      <c r="O238" s="30">
        <f t="shared" si="227"/>
        <v>0</v>
      </c>
      <c r="P238" s="30"/>
      <c r="Q238" s="30">
        <f t="shared" si="228"/>
        <v>0</v>
      </c>
      <c r="R238" s="30">
        <v>0</v>
      </c>
      <c r="S238" s="30">
        <v>4.2</v>
      </c>
      <c r="T238" s="30"/>
      <c r="U238" s="30">
        <f t="shared" si="230"/>
        <v>0</v>
      </c>
      <c r="V238" s="29">
        <v>18.8</v>
      </c>
      <c r="W238" s="30">
        <f t="shared" si="221"/>
        <v>0</v>
      </c>
      <c r="X238" s="30"/>
      <c r="Y238" s="30">
        <f t="shared" si="231"/>
        <v>0</v>
      </c>
      <c r="Z238" s="31">
        <v>0</v>
      </c>
      <c r="AA238" s="30">
        <f t="shared" si="222"/>
        <v>0</v>
      </c>
      <c r="AB238" s="58"/>
      <c r="AC238" s="30">
        <f t="shared" si="232"/>
        <v>0</v>
      </c>
      <c r="AD238" s="31">
        <v>0</v>
      </c>
      <c r="AE238" s="30">
        <f t="shared" si="233"/>
        <v>0</v>
      </c>
      <c r="AF238" s="30"/>
      <c r="AG238" s="30">
        <f t="shared" si="234"/>
        <v>0</v>
      </c>
      <c r="AH238" s="30">
        <f t="shared" si="216"/>
        <v>0</v>
      </c>
      <c r="AI238" s="30">
        <f t="shared" si="242"/>
        <v>0</v>
      </c>
      <c r="AJ238" s="31">
        <v>0</v>
      </c>
      <c r="AK238" s="30" t="s">
        <v>314</v>
      </c>
      <c r="AL238" s="32">
        <v>0</v>
      </c>
      <c r="AM238" s="32">
        <f t="shared" si="235"/>
        <v>0</v>
      </c>
      <c r="AN238" s="32"/>
      <c r="AO238" s="32">
        <f t="shared" si="236"/>
        <v>0</v>
      </c>
      <c r="AP238" s="32">
        <f t="shared" si="240"/>
        <v>0</v>
      </c>
      <c r="AQ238" s="33">
        <f t="shared" si="214"/>
        <v>0</v>
      </c>
      <c r="AR238" s="82">
        <f t="shared" si="214"/>
        <v>0</v>
      </c>
      <c r="AS238" s="9"/>
      <c r="AT238" s="9"/>
      <c r="AU238" s="9"/>
      <c r="AV238" s="9"/>
      <c r="AW238" s="65"/>
      <c r="AX238" s="65"/>
      <c r="AY238" s="62"/>
      <c r="AZ238" s="62"/>
      <c r="BA238" s="62"/>
      <c r="BB238" s="62"/>
      <c r="BC238" s="62"/>
      <c r="BD238" s="62"/>
      <c r="BE238" s="62"/>
      <c r="BF238" s="62"/>
      <c r="BG238" s="62"/>
      <c r="BH238" s="62"/>
      <c r="BI238" s="62"/>
      <c r="BJ238" s="62"/>
      <c r="BK238" s="62"/>
      <c r="BL238" s="62"/>
      <c r="BM238" s="62"/>
      <c r="BN238" s="62"/>
      <c r="BO238" s="62"/>
      <c r="BP238" s="62"/>
      <c r="BQ238" s="62"/>
      <c r="BR238" s="62"/>
      <c r="BS238" s="62"/>
      <c r="BT238" s="62"/>
      <c r="BU238" s="62"/>
      <c r="BV238" s="62"/>
      <c r="BW238" s="62"/>
      <c r="BX238" s="62"/>
      <c r="BY238" s="62"/>
      <c r="BZ238" s="62"/>
      <c r="CA238" s="62"/>
      <c r="CB238" s="62"/>
      <c r="CC238" s="62"/>
      <c r="CD238" s="62"/>
      <c r="CE238" s="62"/>
      <c r="CF238" s="62"/>
      <c r="CG238" s="62"/>
    </row>
    <row r="239" spans="1:85" s="4" customFormat="1" ht="64.5" customHeight="1" outlineLevel="1" x14ac:dyDescent="0.25">
      <c r="A239" s="25">
        <f t="shared" si="248"/>
        <v>197</v>
      </c>
      <c r="B239" s="26" t="s">
        <v>19</v>
      </c>
      <c r="C239" s="27" t="s">
        <v>214</v>
      </c>
      <c r="D239" s="28" t="s">
        <v>18</v>
      </c>
      <c r="E239" s="29">
        <f t="shared" si="215"/>
        <v>123.4</v>
      </c>
      <c r="F239" s="29">
        <v>0</v>
      </c>
      <c r="G239" s="30">
        <f t="shared" si="219"/>
        <v>0</v>
      </c>
      <c r="H239" s="30"/>
      <c r="I239" s="30">
        <f t="shared" si="224"/>
        <v>0</v>
      </c>
      <c r="J239" s="31">
        <v>0</v>
      </c>
      <c r="K239" s="30">
        <f t="shared" si="225"/>
        <v>0</v>
      </c>
      <c r="L239" s="30"/>
      <c r="M239" s="30">
        <f t="shared" si="226"/>
        <v>0</v>
      </c>
      <c r="N239" s="29">
        <v>123.4</v>
      </c>
      <c r="O239" s="30">
        <f t="shared" si="227"/>
        <v>0</v>
      </c>
      <c r="P239" s="30"/>
      <c r="Q239" s="30">
        <f t="shared" si="228"/>
        <v>0</v>
      </c>
      <c r="R239" s="30">
        <v>0</v>
      </c>
      <c r="S239" s="30">
        <f t="shared" ref="S239:S241" si="250">T239/1.18</f>
        <v>0</v>
      </c>
      <c r="T239" s="30"/>
      <c r="U239" s="30">
        <f t="shared" si="230"/>
        <v>0</v>
      </c>
      <c r="V239" s="29">
        <v>0</v>
      </c>
      <c r="W239" s="30">
        <f t="shared" si="221"/>
        <v>0</v>
      </c>
      <c r="X239" s="30"/>
      <c r="Y239" s="30">
        <f t="shared" si="231"/>
        <v>0</v>
      </c>
      <c r="Z239" s="31">
        <v>0</v>
      </c>
      <c r="AA239" s="30">
        <f t="shared" si="222"/>
        <v>0</v>
      </c>
      <c r="AB239" s="58"/>
      <c r="AC239" s="30">
        <f t="shared" si="232"/>
        <v>0</v>
      </c>
      <c r="AD239" s="31">
        <v>0</v>
      </c>
      <c r="AE239" s="30">
        <f t="shared" si="233"/>
        <v>0</v>
      </c>
      <c r="AF239" s="30"/>
      <c r="AG239" s="30">
        <f t="shared" si="234"/>
        <v>0</v>
      </c>
      <c r="AH239" s="30">
        <f t="shared" si="216"/>
        <v>0</v>
      </c>
      <c r="AI239" s="30">
        <f t="shared" si="242"/>
        <v>0</v>
      </c>
      <c r="AJ239" s="31">
        <v>0</v>
      </c>
      <c r="AK239" s="30" t="s">
        <v>314</v>
      </c>
      <c r="AL239" s="32">
        <v>0</v>
      </c>
      <c r="AM239" s="32">
        <f t="shared" si="235"/>
        <v>0</v>
      </c>
      <c r="AN239" s="32"/>
      <c r="AO239" s="32">
        <f t="shared" si="236"/>
        <v>0</v>
      </c>
      <c r="AP239" s="32">
        <f t="shared" si="240"/>
        <v>0</v>
      </c>
      <c r="AQ239" s="33">
        <f t="shared" si="214"/>
        <v>0</v>
      </c>
      <c r="AR239" s="82">
        <f t="shared" si="214"/>
        <v>0</v>
      </c>
      <c r="AS239" s="9"/>
      <c r="AT239" s="9"/>
      <c r="AU239" s="9"/>
      <c r="AV239" s="9"/>
      <c r="AW239" s="65"/>
      <c r="AX239" s="65"/>
      <c r="AY239" s="62"/>
      <c r="AZ239" s="62"/>
      <c r="BA239" s="62"/>
      <c r="BB239" s="62"/>
      <c r="BC239" s="62"/>
      <c r="BD239" s="62"/>
      <c r="BE239" s="62"/>
      <c r="BF239" s="62"/>
      <c r="BG239" s="62"/>
      <c r="BH239" s="62"/>
      <c r="BI239" s="62"/>
      <c r="BJ239" s="62"/>
      <c r="BK239" s="62"/>
      <c r="BL239" s="62"/>
      <c r="BM239" s="62"/>
      <c r="BN239" s="62"/>
      <c r="BO239" s="62"/>
      <c r="BP239" s="62"/>
      <c r="BQ239" s="62"/>
      <c r="BR239" s="62"/>
      <c r="BS239" s="62"/>
      <c r="BT239" s="62"/>
      <c r="BU239" s="62"/>
      <c r="BV239" s="62"/>
      <c r="BW239" s="62"/>
      <c r="BX239" s="62"/>
      <c r="BY239" s="62"/>
      <c r="BZ239" s="62"/>
      <c r="CA239" s="62"/>
      <c r="CB239" s="62"/>
      <c r="CC239" s="62"/>
      <c r="CD239" s="62"/>
      <c r="CE239" s="62"/>
      <c r="CF239" s="62"/>
      <c r="CG239" s="62"/>
    </row>
    <row r="240" spans="1:85" s="4" customFormat="1" ht="75" outlineLevel="1" x14ac:dyDescent="0.25">
      <c r="A240" s="25">
        <f t="shared" si="248"/>
        <v>198</v>
      </c>
      <c r="B240" s="26" t="s">
        <v>19</v>
      </c>
      <c r="C240" s="27" t="s">
        <v>215</v>
      </c>
      <c r="D240" s="28" t="s">
        <v>18</v>
      </c>
      <c r="E240" s="29">
        <f t="shared" si="215"/>
        <v>35.1</v>
      </c>
      <c r="F240" s="29">
        <v>0</v>
      </c>
      <c r="G240" s="30">
        <f t="shared" si="219"/>
        <v>0</v>
      </c>
      <c r="H240" s="30"/>
      <c r="I240" s="30">
        <f t="shared" si="224"/>
        <v>0</v>
      </c>
      <c r="J240" s="31">
        <v>0</v>
      </c>
      <c r="K240" s="30">
        <f t="shared" si="225"/>
        <v>0</v>
      </c>
      <c r="L240" s="30"/>
      <c r="M240" s="30">
        <f t="shared" si="226"/>
        <v>0</v>
      </c>
      <c r="N240" s="57">
        <v>35.1</v>
      </c>
      <c r="O240" s="30">
        <f t="shared" si="227"/>
        <v>0</v>
      </c>
      <c r="P240" s="30"/>
      <c r="Q240" s="30">
        <f t="shared" si="228"/>
        <v>0</v>
      </c>
      <c r="R240" s="30">
        <v>0</v>
      </c>
      <c r="S240" s="30">
        <f t="shared" si="250"/>
        <v>0</v>
      </c>
      <c r="T240" s="30"/>
      <c r="U240" s="30">
        <f t="shared" si="230"/>
        <v>0</v>
      </c>
      <c r="V240" s="29">
        <v>0</v>
      </c>
      <c r="W240" s="30">
        <f t="shared" si="221"/>
        <v>0</v>
      </c>
      <c r="X240" s="30"/>
      <c r="Y240" s="30">
        <f t="shared" si="231"/>
        <v>0</v>
      </c>
      <c r="Z240" s="31">
        <v>0</v>
      </c>
      <c r="AA240" s="30">
        <f t="shared" si="222"/>
        <v>0</v>
      </c>
      <c r="AB240" s="58"/>
      <c r="AC240" s="30">
        <f t="shared" si="232"/>
        <v>0</v>
      </c>
      <c r="AD240" s="31">
        <v>0</v>
      </c>
      <c r="AE240" s="30">
        <f t="shared" si="233"/>
        <v>0</v>
      </c>
      <c r="AF240" s="30"/>
      <c r="AG240" s="30">
        <f t="shared" si="234"/>
        <v>0</v>
      </c>
      <c r="AH240" s="30">
        <f t="shared" si="216"/>
        <v>0</v>
      </c>
      <c r="AI240" s="30">
        <f t="shared" si="242"/>
        <v>0</v>
      </c>
      <c r="AJ240" s="31">
        <v>0</v>
      </c>
      <c r="AK240" s="30" t="s">
        <v>314</v>
      </c>
      <c r="AL240" s="32">
        <v>0</v>
      </c>
      <c r="AM240" s="32">
        <f t="shared" si="235"/>
        <v>0</v>
      </c>
      <c r="AN240" s="32"/>
      <c r="AO240" s="32">
        <f t="shared" si="236"/>
        <v>0</v>
      </c>
      <c r="AP240" s="32">
        <f t="shared" si="240"/>
        <v>0</v>
      </c>
      <c r="AQ240" s="33">
        <f t="shared" si="214"/>
        <v>0</v>
      </c>
      <c r="AR240" s="82">
        <f t="shared" si="214"/>
        <v>0</v>
      </c>
      <c r="AS240" s="9"/>
      <c r="AT240" s="9"/>
      <c r="AU240" s="9"/>
      <c r="AV240" s="9"/>
      <c r="AW240" s="65"/>
      <c r="AX240" s="65"/>
      <c r="AY240" s="62"/>
      <c r="AZ240" s="62"/>
      <c r="BA240" s="62"/>
      <c r="BB240" s="62"/>
      <c r="BC240" s="62"/>
      <c r="BD240" s="62"/>
      <c r="BE240" s="62"/>
      <c r="BF240" s="62"/>
      <c r="BG240" s="62"/>
      <c r="BH240" s="62"/>
      <c r="BI240" s="62"/>
      <c r="BJ240" s="62"/>
      <c r="BK240" s="62"/>
      <c r="BL240" s="62"/>
      <c r="BM240" s="62"/>
      <c r="BN240" s="62"/>
      <c r="BO240" s="62"/>
      <c r="BP240" s="62"/>
      <c r="BQ240" s="62"/>
      <c r="BR240" s="62"/>
      <c r="BS240" s="62"/>
      <c r="BT240" s="62"/>
      <c r="BU240" s="62"/>
      <c r="BV240" s="62"/>
      <c r="BW240" s="62"/>
      <c r="BX240" s="62"/>
      <c r="BY240" s="62"/>
      <c r="BZ240" s="62"/>
      <c r="CA240" s="62"/>
      <c r="CB240" s="62"/>
      <c r="CC240" s="62"/>
      <c r="CD240" s="62"/>
      <c r="CE240" s="62"/>
      <c r="CF240" s="62"/>
      <c r="CG240" s="62"/>
    </row>
    <row r="241" spans="1:85" s="4" customFormat="1" ht="64.5" customHeight="1" outlineLevel="1" x14ac:dyDescent="0.25">
      <c r="A241" s="25">
        <f t="shared" si="248"/>
        <v>199</v>
      </c>
      <c r="B241" s="26" t="s">
        <v>19</v>
      </c>
      <c r="C241" s="27" t="s">
        <v>216</v>
      </c>
      <c r="D241" s="28" t="s">
        <v>18</v>
      </c>
      <c r="E241" s="29">
        <f t="shared" si="215"/>
        <v>45</v>
      </c>
      <c r="F241" s="29">
        <v>0</v>
      </c>
      <c r="G241" s="30">
        <f t="shared" si="219"/>
        <v>0</v>
      </c>
      <c r="H241" s="30"/>
      <c r="I241" s="30">
        <f t="shared" si="224"/>
        <v>0</v>
      </c>
      <c r="J241" s="31">
        <v>0</v>
      </c>
      <c r="K241" s="30">
        <f t="shared" si="225"/>
        <v>0</v>
      </c>
      <c r="L241" s="30"/>
      <c r="M241" s="30">
        <f t="shared" si="226"/>
        <v>0</v>
      </c>
      <c r="N241" s="29">
        <v>45</v>
      </c>
      <c r="O241" s="30">
        <f t="shared" si="227"/>
        <v>0</v>
      </c>
      <c r="P241" s="30"/>
      <c r="Q241" s="30">
        <f t="shared" si="228"/>
        <v>0</v>
      </c>
      <c r="R241" s="30">
        <v>0</v>
      </c>
      <c r="S241" s="30">
        <f t="shared" si="250"/>
        <v>0</v>
      </c>
      <c r="T241" s="30"/>
      <c r="U241" s="30">
        <f t="shared" si="230"/>
        <v>0</v>
      </c>
      <c r="V241" s="29">
        <v>0</v>
      </c>
      <c r="W241" s="30">
        <f t="shared" si="221"/>
        <v>0</v>
      </c>
      <c r="X241" s="30"/>
      <c r="Y241" s="30">
        <f t="shared" si="231"/>
        <v>0</v>
      </c>
      <c r="Z241" s="31">
        <v>0</v>
      </c>
      <c r="AA241" s="30">
        <f t="shared" si="222"/>
        <v>0</v>
      </c>
      <c r="AB241" s="58"/>
      <c r="AC241" s="30">
        <f t="shared" si="232"/>
        <v>0</v>
      </c>
      <c r="AD241" s="31">
        <v>0</v>
      </c>
      <c r="AE241" s="30">
        <f t="shared" si="233"/>
        <v>0</v>
      </c>
      <c r="AF241" s="30"/>
      <c r="AG241" s="30">
        <f t="shared" si="234"/>
        <v>0</v>
      </c>
      <c r="AH241" s="30">
        <f t="shared" si="216"/>
        <v>0</v>
      </c>
      <c r="AI241" s="30">
        <f t="shared" si="242"/>
        <v>0</v>
      </c>
      <c r="AJ241" s="31">
        <v>0</v>
      </c>
      <c r="AK241" s="30" t="s">
        <v>314</v>
      </c>
      <c r="AL241" s="32">
        <v>0</v>
      </c>
      <c r="AM241" s="32">
        <f t="shared" si="235"/>
        <v>0</v>
      </c>
      <c r="AN241" s="32"/>
      <c r="AO241" s="32">
        <f t="shared" si="236"/>
        <v>0</v>
      </c>
      <c r="AP241" s="32">
        <f t="shared" si="240"/>
        <v>0</v>
      </c>
      <c r="AQ241" s="33">
        <f t="shared" si="214"/>
        <v>0</v>
      </c>
      <c r="AR241" s="82">
        <f t="shared" si="214"/>
        <v>0</v>
      </c>
      <c r="AS241" s="9"/>
      <c r="AT241" s="9"/>
      <c r="AU241" s="9"/>
      <c r="AV241" s="9"/>
      <c r="AW241" s="65"/>
      <c r="AX241" s="65"/>
      <c r="AY241" s="62"/>
      <c r="AZ241" s="62"/>
      <c r="BA241" s="62"/>
      <c r="BB241" s="62"/>
      <c r="BC241" s="62"/>
      <c r="BD241" s="62"/>
      <c r="BE241" s="62"/>
      <c r="BF241" s="62"/>
      <c r="BG241" s="62"/>
      <c r="BH241" s="62"/>
      <c r="BI241" s="62"/>
      <c r="BJ241" s="62"/>
      <c r="BK241" s="62"/>
      <c r="BL241" s="62"/>
      <c r="BM241" s="62"/>
      <c r="BN241" s="62"/>
      <c r="BO241" s="62"/>
      <c r="BP241" s="62"/>
      <c r="BQ241" s="62"/>
      <c r="BR241" s="62"/>
      <c r="BS241" s="62"/>
      <c r="BT241" s="62"/>
      <c r="BU241" s="62"/>
      <c r="BV241" s="62"/>
      <c r="BW241" s="62"/>
      <c r="BX241" s="62"/>
      <c r="BY241" s="62"/>
      <c r="BZ241" s="62"/>
      <c r="CA241" s="62"/>
      <c r="CB241" s="62"/>
      <c r="CC241" s="62"/>
      <c r="CD241" s="62"/>
      <c r="CE241" s="62"/>
      <c r="CF241" s="62"/>
      <c r="CG241" s="62"/>
    </row>
    <row r="242" spans="1:85" s="4" customFormat="1" ht="64.5" customHeight="1" outlineLevel="1" x14ac:dyDescent="0.25">
      <c r="A242" s="25">
        <f t="shared" si="248"/>
        <v>200</v>
      </c>
      <c r="B242" s="26" t="s">
        <v>19</v>
      </c>
      <c r="C242" s="27" t="s">
        <v>217</v>
      </c>
      <c r="D242" s="28" t="s">
        <v>18</v>
      </c>
      <c r="E242" s="29">
        <f t="shared" si="215"/>
        <v>33.200000000000003</v>
      </c>
      <c r="F242" s="29">
        <v>0</v>
      </c>
      <c r="G242" s="30">
        <f t="shared" si="219"/>
        <v>0</v>
      </c>
      <c r="H242" s="30"/>
      <c r="I242" s="30">
        <f t="shared" si="224"/>
        <v>0</v>
      </c>
      <c r="J242" s="31">
        <v>0</v>
      </c>
      <c r="K242" s="30">
        <f t="shared" si="225"/>
        <v>0</v>
      </c>
      <c r="L242" s="30"/>
      <c r="M242" s="30">
        <f t="shared" si="226"/>
        <v>0</v>
      </c>
      <c r="N242" s="29">
        <v>33.200000000000003</v>
      </c>
      <c r="O242" s="30">
        <f t="shared" si="227"/>
        <v>0</v>
      </c>
      <c r="P242" s="30"/>
      <c r="Q242" s="30">
        <f t="shared" si="228"/>
        <v>0</v>
      </c>
      <c r="R242" s="30">
        <v>0</v>
      </c>
      <c r="S242" s="30">
        <v>4.2</v>
      </c>
      <c r="T242" s="30"/>
      <c r="U242" s="30">
        <f t="shared" si="230"/>
        <v>0</v>
      </c>
      <c r="V242" s="29">
        <v>0</v>
      </c>
      <c r="W242" s="30">
        <f t="shared" si="221"/>
        <v>0</v>
      </c>
      <c r="X242" s="30"/>
      <c r="Y242" s="30">
        <f t="shared" si="231"/>
        <v>0</v>
      </c>
      <c r="Z242" s="31">
        <v>0</v>
      </c>
      <c r="AA242" s="30">
        <f t="shared" si="222"/>
        <v>0</v>
      </c>
      <c r="AB242" s="58"/>
      <c r="AC242" s="30">
        <f t="shared" si="232"/>
        <v>0</v>
      </c>
      <c r="AD242" s="31">
        <v>0</v>
      </c>
      <c r="AE242" s="30">
        <f t="shared" si="233"/>
        <v>0</v>
      </c>
      <c r="AF242" s="30"/>
      <c r="AG242" s="30">
        <f t="shared" si="234"/>
        <v>0</v>
      </c>
      <c r="AH242" s="30">
        <f t="shared" si="216"/>
        <v>0</v>
      </c>
      <c r="AI242" s="30">
        <f t="shared" si="242"/>
        <v>0</v>
      </c>
      <c r="AJ242" s="31">
        <v>0</v>
      </c>
      <c r="AK242" s="30" t="s">
        <v>314</v>
      </c>
      <c r="AL242" s="32">
        <v>0</v>
      </c>
      <c r="AM242" s="32">
        <f t="shared" si="235"/>
        <v>0</v>
      </c>
      <c r="AN242" s="32"/>
      <c r="AO242" s="32">
        <f t="shared" si="236"/>
        <v>0</v>
      </c>
      <c r="AP242" s="32">
        <f t="shared" si="240"/>
        <v>0</v>
      </c>
      <c r="AQ242" s="33">
        <f t="shared" si="214"/>
        <v>0</v>
      </c>
      <c r="AR242" s="82">
        <f t="shared" si="214"/>
        <v>0</v>
      </c>
      <c r="AS242" s="9"/>
      <c r="AT242" s="9"/>
      <c r="AU242" s="9"/>
      <c r="AV242" s="9"/>
      <c r="AW242" s="65"/>
      <c r="AX242" s="65"/>
      <c r="AY242" s="62"/>
      <c r="AZ242" s="62"/>
      <c r="BA242" s="62"/>
      <c r="BB242" s="62"/>
      <c r="BC242" s="62"/>
      <c r="BD242" s="62"/>
      <c r="BE242" s="62"/>
      <c r="BF242" s="62"/>
      <c r="BG242" s="62"/>
      <c r="BH242" s="62"/>
      <c r="BI242" s="62"/>
      <c r="BJ242" s="62"/>
      <c r="BK242" s="62"/>
      <c r="BL242" s="62"/>
      <c r="BM242" s="62"/>
      <c r="BN242" s="62"/>
      <c r="BO242" s="62"/>
      <c r="BP242" s="62"/>
      <c r="BQ242" s="62"/>
      <c r="BR242" s="62"/>
      <c r="BS242" s="62"/>
      <c r="BT242" s="62"/>
      <c r="BU242" s="62"/>
      <c r="BV242" s="62"/>
      <c r="BW242" s="62"/>
      <c r="BX242" s="62"/>
      <c r="BY242" s="62"/>
      <c r="BZ242" s="62"/>
      <c r="CA242" s="62"/>
      <c r="CB242" s="62"/>
      <c r="CC242" s="62"/>
      <c r="CD242" s="62"/>
      <c r="CE242" s="62"/>
      <c r="CF242" s="62"/>
      <c r="CG242" s="62"/>
    </row>
    <row r="243" spans="1:85" s="4" customFormat="1" ht="75" outlineLevel="1" x14ac:dyDescent="0.25">
      <c r="A243" s="25">
        <f t="shared" si="248"/>
        <v>201</v>
      </c>
      <c r="B243" s="26" t="s">
        <v>19</v>
      </c>
      <c r="C243" s="27" t="s">
        <v>218</v>
      </c>
      <c r="D243" s="28" t="s">
        <v>18</v>
      </c>
      <c r="E243" s="29">
        <f t="shared" si="215"/>
        <v>30.9</v>
      </c>
      <c r="F243" s="29">
        <v>0</v>
      </c>
      <c r="G243" s="30">
        <f t="shared" si="219"/>
        <v>0</v>
      </c>
      <c r="H243" s="30"/>
      <c r="I243" s="30">
        <f t="shared" si="224"/>
        <v>0</v>
      </c>
      <c r="J243" s="31">
        <v>0</v>
      </c>
      <c r="K243" s="30">
        <f t="shared" si="225"/>
        <v>0</v>
      </c>
      <c r="L243" s="30"/>
      <c r="M243" s="30">
        <f t="shared" si="226"/>
        <v>0</v>
      </c>
      <c r="N243" s="29">
        <v>30.9</v>
      </c>
      <c r="O243" s="30">
        <f t="shared" si="227"/>
        <v>0</v>
      </c>
      <c r="P243" s="30"/>
      <c r="Q243" s="30">
        <f t="shared" si="228"/>
        <v>0</v>
      </c>
      <c r="R243" s="30">
        <v>0</v>
      </c>
      <c r="S243" s="30">
        <f t="shared" ref="S243:S245" si="251">T243/1.18</f>
        <v>0</v>
      </c>
      <c r="T243" s="30"/>
      <c r="U243" s="30">
        <f t="shared" si="230"/>
        <v>0</v>
      </c>
      <c r="V243" s="29">
        <v>0</v>
      </c>
      <c r="W243" s="30">
        <f t="shared" si="221"/>
        <v>0</v>
      </c>
      <c r="X243" s="30"/>
      <c r="Y243" s="30">
        <f t="shared" si="231"/>
        <v>0</v>
      </c>
      <c r="Z243" s="31">
        <v>0</v>
      </c>
      <c r="AA243" s="30">
        <f t="shared" si="222"/>
        <v>0</v>
      </c>
      <c r="AB243" s="58"/>
      <c r="AC243" s="30">
        <f t="shared" si="232"/>
        <v>0</v>
      </c>
      <c r="AD243" s="31">
        <v>0</v>
      </c>
      <c r="AE243" s="30">
        <f t="shared" si="233"/>
        <v>0</v>
      </c>
      <c r="AF243" s="30"/>
      <c r="AG243" s="30">
        <f t="shared" si="234"/>
        <v>0</v>
      </c>
      <c r="AH243" s="30">
        <f t="shared" si="216"/>
        <v>0</v>
      </c>
      <c r="AI243" s="30">
        <f t="shared" si="242"/>
        <v>0</v>
      </c>
      <c r="AJ243" s="31">
        <v>0</v>
      </c>
      <c r="AK243" s="30" t="s">
        <v>314</v>
      </c>
      <c r="AL243" s="32">
        <v>0</v>
      </c>
      <c r="AM243" s="32">
        <f t="shared" si="235"/>
        <v>0</v>
      </c>
      <c r="AN243" s="32"/>
      <c r="AO243" s="32">
        <f t="shared" si="236"/>
        <v>0</v>
      </c>
      <c r="AP243" s="32">
        <f t="shared" si="240"/>
        <v>0</v>
      </c>
      <c r="AQ243" s="33">
        <f t="shared" si="214"/>
        <v>0</v>
      </c>
      <c r="AR243" s="82">
        <f t="shared" si="214"/>
        <v>0</v>
      </c>
      <c r="AS243" s="9"/>
      <c r="AT243" s="9"/>
      <c r="AU243" s="9"/>
      <c r="AV243" s="9"/>
      <c r="AW243" s="65"/>
      <c r="AX243" s="65"/>
      <c r="AY243" s="62"/>
      <c r="AZ243" s="62"/>
      <c r="BA243" s="62"/>
      <c r="BB243" s="62"/>
      <c r="BC243" s="62"/>
      <c r="BD243" s="62"/>
      <c r="BE243" s="62"/>
      <c r="BF243" s="62"/>
      <c r="BG243" s="62"/>
      <c r="BH243" s="62"/>
      <c r="BI243" s="62"/>
      <c r="BJ243" s="62"/>
      <c r="BK243" s="62"/>
      <c r="BL243" s="62"/>
      <c r="BM243" s="62"/>
      <c r="BN243" s="62"/>
      <c r="BO243" s="62"/>
      <c r="BP243" s="62"/>
      <c r="BQ243" s="62"/>
      <c r="BR243" s="62"/>
      <c r="BS243" s="62"/>
      <c r="BT243" s="62"/>
      <c r="BU243" s="62"/>
      <c r="BV243" s="62"/>
      <c r="BW243" s="62"/>
      <c r="BX243" s="62"/>
      <c r="BY243" s="62"/>
      <c r="BZ243" s="62"/>
      <c r="CA243" s="62"/>
      <c r="CB243" s="62"/>
      <c r="CC243" s="62"/>
      <c r="CD243" s="62"/>
      <c r="CE243" s="62"/>
      <c r="CF243" s="62"/>
      <c r="CG243" s="62"/>
    </row>
    <row r="244" spans="1:85" s="4" customFormat="1" ht="75" outlineLevel="1" x14ac:dyDescent="0.25">
      <c r="A244" s="25">
        <f t="shared" si="248"/>
        <v>202</v>
      </c>
      <c r="B244" s="26" t="s">
        <v>19</v>
      </c>
      <c r="C244" s="27" t="s">
        <v>223</v>
      </c>
      <c r="D244" s="28" t="s">
        <v>18</v>
      </c>
      <c r="E244" s="29">
        <f t="shared" si="215"/>
        <v>75.099999999999994</v>
      </c>
      <c r="F244" s="29">
        <v>0</v>
      </c>
      <c r="G244" s="30">
        <f t="shared" si="219"/>
        <v>0</v>
      </c>
      <c r="H244" s="30"/>
      <c r="I244" s="30">
        <f t="shared" si="224"/>
        <v>0</v>
      </c>
      <c r="J244" s="31">
        <v>0</v>
      </c>
      <c r="K244" s="30">
        <f t="shared" si="225"/>
        <v>0</v>
      </c>
      <c r="L244" s="30"/>
      <c r="M244" s="30">
        <f t="shared" si="226"/>
        <v>0</v>
      </c>
      <c r="N244" s="29">
        <v>4.8</v>
      </c>
      <c r="O244" s="30">
        <f t="shared" si="227"/>
        <v>0</v>
      </c>
      <c r="P244" s="30"/>
      <c r="Q244" s="30">
        <f t="shared" si="228"/>
        <v>0</v>
      </c>
      <c r="R244" s="30">
        <v>0</v>
      </c>
      <c r="S244" s="30">
        <f t="shared" si="251"/>
        <v>0</v>
      </c>
      <c r="T244" s="30"/>
      <c r="U244" s="30">
        <f t="shared" si="230"/>
        <v>0</v>
      </c>
      <c r="V244" s="29">
        <v>57.4</v>
      </c>
      <c r="W244" s="30">
        <f t="shared" si="221"/>
        <v>0</v>
      </c>
      <c r="X244" s="30"/>
      <c r="Y244" s="30">
        <f t="shared" si="231"/>
        <v>0</v>
      </c>
      <c r="Z244" s="31">
        <v>0</v>
      </c>
      <c r="AA244" s="30">
        <f t="shared" si="222"/>
        <v>0</v>
      </c>
      <c r="AB244" s="58"/>
      <c r="AC244" s="30">
        <f t="shared" si="232"/>
        <v>0</v>
      </c>
      <c r="AD244" s="31">
        <v>12.9</v>
      </c>
      <c r="AE244" s="30">
        <f t="shared" si="233"/>
        <v>0</v>
      </c>
      <c r="AF244" s="30"/>
      <c r="AG244" s="30">
        <f t="shared" si="234"/>
        <v>0</v>
      </c>
      <c r="AH244" s="30">
        <f t="shared" si="216"/>
        <v>0</v>
      </c>
      <c r="AI244" s="30">
        <f t="shared" si="242"/>
        <v>0</v>
      </c>
      <c r="AJ244" s="31">
        <v>0</v>
      </c>
      <c r="AK244" s="30" t="s">
        <v>314</v>
      </c>
      <c r="AL244" s="32">
        <v>0</v>
      </c>
      <c r="AM244" s="32">
        <f t="shared" si="235"/>
        <v>0</v>
      </c>
      <c r="AN244" s="32"/>
      <c r="AO244" s="32">
        <f t="shared" si="236"/>
        <v>0</v>
      </c>
      <c r="AP244" s="32">
        <f t="shared" si="240"/>
        <v>0</v>
      </c>
      <c r="AQ244" s="33">
        <f t="shared" si="214"/>
        <v>0</v>
      </c>
      <c r="AR244" s="82">
        <f t="shared" si="214"/>
        <v>0</v>
      </c>
      <c r="AS244" s="9"/>
      <c r="AT244" s="9"/>
      <c r="AU244" s="9"/>
      <c r="AV244" s="9"/>
      <c r="AW244" s="65"/>
      <c r="AX244" s="65"/>
      <c r="AY244" s="62"/>
      <c r="AZ244" s="62"/>
      <c r="BA244" s="62"/>
      <c r="BB244" s="62"/>
      <c r="BC244" s="62"/>
      <c r="BD244" s="62"/>
      <c r="BE244" s="62"/>
      <c r="BF244" s="62"/>
      <c r="BG244" s="62"/>
      <c r="BH244" s="62"/>
      <c r="BI244" s="62"/>
      <c r="BJ244" s="62"/>
      <c r="BK244" s="62"/>
      <c r="BL244" s="62"/>
      <c r="BM244" s="62"/>
      <c r="BN244" s="62"/>
      <c r="BO244" s="62"/>
      <c r="BP244" s="62"/>
      <c r="BQ244" s="62"/>
      <c r="BR244" s="62"/>
      <c r="BS244" s="62"/>
      <c r="BT244" s="62"/>
      <c r="BU244" s="62"/>
      <c r="BV244" s="62"/>
      <c r="BW244" s="62"/>
      <c r="BX244" s="62"/>
      <c r="BY244" s="62"/>
      <c r="BZ244" s="62"/>
      <c r="CA244" s="62"/>
      <c r="CB244" s="62"/>
      <c r="CC244" s="62"/>
      <c r="CD244" s="62"/>
      <c r="CE244" s="62"/>
      <c r="CF244" s="62"/>
      <c r="CG244" s="62"/>
    </row>
    <row r="245" spans="1:85" s="4" customFormat="1" ht="75" outlineLevel="1" x14ac:dyDescent="0.25">
      <c r="A245" s="25">
        <f t="shared" si="248"/>
        <v>203</v>
      </c>
      <c r="B245" s="26" t="s">
        <v>19</v>
      </c>
      <c r="C245" s="27" t="s">
        <v>219</v>
      </c>
      <c r="D245" s="28" t="s">
        <v>18</v>
      </c>
      <c r="E245" s="29">
        <f t="shared" si="215"/>
        <v>50.3</v>
      </c>
      <c r="F245" s="29">
        <v>0</v>
      </c>
      <c r="G245" s="30">
        <f t="shared" si="219"/>
        <v>0</v>
      </c>
      <c r="H245" s="30"/>
      <c r="I245" s="30">
        <f t="shared" si="224"/>
        <v>0</v>
      </c>
      <c r="J245" s="31">
        <v>0</v>
      </c>
      <c r="K245" s="30">
        <f t="shared" si="225"/>
        <v>0</v>
      </c>
      <c r="L245" s="30"/>
      <c r="M245" s="30">
        <f t="shared" si="226"/>
        <v>0</v>
      </c>
      <c r="N245" s="29">
        <v>50.3</v>
      </c>
      <c r="O245" s="30">
        <f t="shared" si="227"/>
        <v>0</v>
      </c>
      <c r="P245" s="30"/>
      <c r="Q245" s="30">
        <f t="shared" si="228"/>
        <v>0</v>
      </c>
      <c r="R245" s="30">
        <v>0</v>
      </c>
      <c r="S245" s="30">
        <f t="shared" si="251"/>
        <v>0</v>
      </c>
      <c r="T245" s="30"/>
      <c r="U245" s="30">
        <f t="shared" si="230"/>
        <v>0</v>
      </c>
      <c r="V245" s="29">
        <v>0</v>
      </c>
      <c r="W245" s="30">
        <f t="shared" si="221"/>
        <v>0</v>
      </c>
      <c r="X245" s="30"/>
      <c r="Y245" s="30">
        <f t="shared" si="231"/>
        <v>0</v>
      </c>
      <c r="Z245" s="31">
        <v>0</v>
      </c>
      <c r="AA245" s="30">
        <f t="shared" si="222"/>
        <v>0</v>
      </c>
      <c r="AB245" s="58"/>
      <c r="AC245" s="30">
        <f t="shared" si="232"/>
        <v>0</v>
      </c>
      <c r="AD245" s="31">
        <v>0</v>
      </c>
      <c r="AE245" s="30">
        <f t="shared" si="233"/>
        <v>0</v>
      </c>
      <c r="AF245" s="30"/>
      <c r="AG245" s="30">
        <f t="shared" si="234"/>
        <v>0</v>
      </c>
      <c r="AH245" s="30">
        <f t="shared" si="216"/>
        <v>0</v>
      </c>
      <c r="AI245" s="30">
        <f t="shared" si="242"/>
        <v>0</v>
      </c>
      <c r="AJ245" s="31">
        <v>0</v>
      </c>
      <c r="AK245" s="30" t="s">
        <v>314</v>
      </c>
      <c r="AL245" s="32">
        <v>0</v>
      </c>
      <c r="AM245" s="32">
        <f t="shared" si="235"/>
        <v>0</v>
      </c>
      <c r="AN245" s="32"/>
      <c r="AO245" s="32">
        <f t="shared" si="236"/>
        <v>0</v>
      </c>
      <c r="AP245" s="32">
        <f t="shared" si="240"/>
        <v>0</v>
      </c>
      <c r="AQ245" s="33">
        <f t="shared" si="214"/>
        <v>0</v>
      </c>
      <c r="AR245" s="82">
        <f t="shared" si="214"/>
        <v>0</v>
      </c>
      <c r="AS245" s="9"/>
      <c r="AT245" s="9"/>
      <c r="AU245" s="9"/>
      <c r="AV245" s="9"/>
      <c r="AW245" s="65"/>
      <c r="AX245" s="65"/>
      <c r="AY245" s="62"/>
      <c r="AZ245" s="62"/>
      <c r="BA245" s="62"/>
      <c r="BB245" s="62"/>
      <c r="BC245" s="62"/>
      <c r="BD245" s="62"/>
      <c r="BE245" s="62"/>
      <c r="BF245" s="62"/>
      <c r="BG245" s="62"/>
      <c r="BH245" s="62"/>
      <c r="BI245" s="62"/>
      <c r="BJ245" s="62"/>
      <c r="BK245" s="62"/>
      <c r="BL245" s="62"/>
      <c r="BM245" s="62"/>
      <c r="BN245" s="62"/>
      <c r="BO245" s="62"/>
      <c r="BP245" s="62"/>
      <c r="BQ245" s="62"/>
      <c r="BR245" s="62"/>
      <c r="BS245" s="62"/>
      <c r="BT245" s="62"/>
      <c r="BU245" s="62"/>
      <c r="BV245" s="62"/>
      <c r="BW245" s="62"/>
      <c r="BX245" s="62"/>
      <c r="BY245" s="62"/>
      <c r="BZ245" s="62"/>
      <c r="CA245" s="62"/>
      <c r="CB245" s="62"/>
      <c r="CC245" s="62"/>
      <c r="CD245" s="62"/>
      <c r="CE245" s="62"/>
      <c r="CF245" s="62"/>
      <c r="CG245" s="62"/>
    </row>
    <row r="246" spans="1:85" s="4" customFormat="1" ht="64.5" customHeight="1" outlineLevel="1" x14ac:dyDescent="0.25">
      <c r="A246" s="25">
        <f t="shared" si="248"/>
        <v>204</v>
      </c>
      <c r="B246" s="26" t="s">
        <v>261</v>
      </c>
      <c r="C246" s="27" t="s">
        <v>220</v>
      </c>
      <c r="D246" s="28" t="s">
        <v>18</v>
      </c>
      <c r="E246" s="29">
        <f t="shared" si="215"/>
        <v>47</v>
      </c>
      <c r="F246" s="29">
        <v>0</v>
      </c>
      <c r="G246" s="30">
        <f t="shared" si="219"/>
        <v>0</v>
      </c>
      <c r="H246" s="30"/>
      <c r="I246" s="30">
        <f t="shared" si="224"/>
        <v>0</v>
      </c>
      <c r="J246" s="31">
        <v>0</v>
      </c>
      <c r="K246" s="30">
        <f t="shared" si="225"/>
        <v>0</v>
      </c>
      <c r="L246" s="30"/>
      <c r="M246" s="30">
        <f t="shared" si="226"/>
        <v>0</v>
      </c>
      <c r="N246" s="29">
        <v>9</v>
      </c>
      <c r="O246" s="30">
        <f t="shared" si="227"/>
        <v>0</v>
      </c>
      <c r="P246" s="30"/>
      <c r="Q246" s="30">
        <f t="shared" si="228"/>
        <v>0</v>
      </c>
      <c r="R246" s="30">
        <v>0</v>
      </c>
      <c r="S246" s="30">
        <v>4.2</v>
      </c>
      <c r="T246" s="30"/>
      <c r="U246" s="30">
        <f t="shared" si="230"/>
        <v>0</v>
      </c>
      <c r="V246" s="29">
        <v>35</v>
      </c>
      <c r="W246" s="30">
        <f t="shared" si="221"/>
        <v>0</v>
      </c>
      <c r="X246" s="30"/>
      <c r="Y246" s="30">
        <f t="shared" si="231"/>
        <v>0</v>
      </c>
      <c r="Z246" s="31">
        <v>0</v>
      </c>
      <c r="AA246" s="30">
        <f t="shared" si="222"/>
        <v>0</v>
      </c>
      <c r="AB246" s="58"/>
      <c r="AC246" s="30">
        <f t="shared" si="232"/>
        <v>0</v>
      </c>
      <c r="AD246" s="31">
        <v>3</v>
      </c>
      <c r="AE246" s="30">
        <f t="shared" si="233"/>
        <v>0</v>
      </c>
      <c r="AF246" s="30"/>
      <c r="AG246" s="30">
        <f t="shared" si="234"/>
        <v>0</v>
      </c>
      <c r="AH246" s="30">
        <f t="shared" si="216"/>
        <v>0</v>
      </c>
      <c r="AI246" s="30">
        <f t="shared" si="242"/>
        <v>0</v>
      </c>
      <c r="AJ246" s="31">
        <v>150.1</v>
      </c>
      <c r="AK246" s="30" t="s">
        <v>314</v>
      </c>
      <c r="AL246" s="32">
        <v>0</v>
      </c>
      <c r="AM246" s="32">
        <f t="shared" si="235"/>
        <v>0</v>
      </c>
      <c r="AN246" s="32"/>
      <c r="AO246" s="32">
        <f t="shared" si="236"/>
        <v>0</v>
      </c>
      <c r="AP246" s="32">
        <f t="shared" si="240"/>
        <v>0</v>
      </c>
      <c r="AQ246" s="33">
        <f t="shared" si="214"/>
        <v>0</v>
      </c>
      <c r="AR246" s="82">
        <f t="shared" si="214"/>
        <v>0</v>
      </c>
      <c r="AS246" s="9"/>
      <c r="AT246" s="9"/>
      <c r="AU246" s="9"/>
      <c r="AV246" s="9"/>
      <c r="AW246" s="65"/>
      <c r="AX246" s="65"/>
      <c r="AY246" s="62"/>
      <c r="AZ246" s="62"/>
      <c r="BA246" s="62"/>
      <c r="BB246" s="62"/>
      <c r="BC246" s="62"/>
      <c r="BD246" s="62"/>
      <c r="BE246" s="62"/>
      <c r="BF246" s="62"/>
      <c r="BG246" s="62"/>
      <c r="BH246" s="62"/>
      <c r="BI246" s="62"/>
      <c r="BJ246" s="62"/>
      <c r="BK246" s="62"/>
      <c r="BL246" s="62"/>
      <c r="BM246" s="62"/>
      <c r="BN246" s="62"/>
      <c r="BO246" s="62"/>
      <c r="BP246" s="62"/>
      <c r="BQ246" s="62"/>
      <c r="BR246" s="62"/>
      <c r="BS246" s="62"/>
      <c r="BT246" s="62"/>
      <c r="BU246" s="62"/>
      <c r="BV246" s="62"/>
      <c r="BW246" s="62"/>
      <c r="BX246" s="62"/>
      <c r="BY246" s="62"/>
      <c r="BZ246" s="62"/>
      <c r="CA246" s="62"/>
      <c r="CB246" s="62"/>
      <c r="CC246" s="62"/>
      <c r="CD246" s="62"/>
      <c r="CE246" s="62"/>
      <c r="CF246" s="62"/>
      <c r="CG246" s="62"/>
    </row>
    <row r="247" spans="1:85" s="4" customFormat="1" ht="64.5" customHeight="1" outlineLevel="1" x14ac:dyDescent="0.25">
      <c r="A247" s="25">
        <f>A246+1</f>
        <v>205</v>
      </c>
      <c r="B247" s="26" t="s">
        <v>262</v>
      </c>
      <c r="C247" s="27" t="s">
        <v>274</v>
      </c>
      <c r="D247" s="28" t="s">
        <v>18</v>
      </c>
      <c r="E247" s="29">
        <f t="shared" si="215"/>
        <v>120.39999999999999</v>
      </c>
      <c r="F247" s="29">
        <v>0</v>
      </c>
      <c r="G247" s="30">
        <f t="shared" si="219"/>
        <v>0</v>
      </c>
      <c r="H247" s="30"/>
      <c r="I247" s="30">
        <f t="shared" si="224"/>
        <v>0</v>
      </c>
      <c r="J247" s="31">
        <v>0</v>
      </c>
      <c r="K247" s="30">
        <f t="shared" si="225"/>
        <v>0</v>
      </c>
      <c r="L247" s="30"/>
      <c r="M247" s="30">
        <f t="shared" si="226"/>
        <v>0</v>
      </c>
      <c r="N247" s="29">
        <v>83.3</v>
      </c>
      <c r="O247" s="30">
        <f t="shared" si="227"/>
        <v>0</v>
      </c>
      <c r="P247" s="30"/>
      <c r="Q247" s="30">
        <f t="shared" si="228"/>
        <v>0</v>
      </c>
      <c r="R247" s="30">
        <v>0</v>
      </c>
      <c r="S247" s="30">
        <f t="shared" ref="S247:S248" si="252">T247/1.18</f>
        <v>0</v>
      </c>
      <c r="T247" s="30"/>
      <c r="U247" s="30">
        <f t="shared" si="230"/>
        <v>0</v>
      </c>
      <c r="V247" s="29">
        <v>33.9</v>
      </c>
      <c r="W247" s="30">
        <f t="shared" si="221"/>
        <v>0</v>
      </c>
      <c r="X247" s="30"/>
      <c r="Y247" s="30">
        <f t="shared" si="231"/>
        <v>0</v>
      </c>
      <c r="Z247" s="31">
        <v>0</v>
      </c>
      <c r="AA247" s="30">
        <f t="shared" si="222"/>
        <v>0</v>
      </c>
      <c r="AB247" s="58"/>
      <c r="AC247" s="30">
        <f t="shared" si="232"/>
        <v>0</v>
      </c>
      <c r="AD247" s="31">
        <v>3.2</v>
      </c>
      <c r="AE247" s="30">
        <f t="shared" si="233"/>
        <v>0</v>
      </c>
      <c r="AF247" s="30"/>
      <c r="AG247" s="30">
        <f t="shared" si="234"/>
        <v>0</v>
      </c>
      <c r="AH247" s="30">
        <f t="shared" si="216"/>
        <v>0</v>
      </c>
      <c r="AI247" s="30">
        <f t="shared" si="242"/>
        <v>0</v>
      </c>
      <c r="AJ247" s="31">
        <v>0</v>
      </c>
      <c r="AK247" s="30" t="s">
        <v>314</v>
      </c>
      <c r="AL247" s="32">
        <v>0</v>
      </c>
      <c r="AM247" s="32">
        <f t="shared" si="235"/>
        <v>0</v>
      </c>
      <c r="AN247" s="32"/>
      <c r="AO247" s="32">
        <f t="shared" si="236"/>
        <v>0</v>
      </c>
      <c r="AP247" s="32">
        <f t="shared" si="240"/>
        <v>0</v>
      </c>
      <c r="AQ247" s="33">
        <f t="shared" si="214"/>
        <v>0</v>
      </c>
      <c r="AR247" s="82">
        <f t="shared" si="214"/>
        <v>0</v>
      </c>
      <c r="AS247" s="9"/>
      <c r="AT247" s="9"/>
      <c r="AU247" s="9"/>
      <c r="AV247" s="9"/>
      <c r="AW247" s="65"/>
      <c r="AX247" s="65"/>
      <c r="AY247" s="62"/>
      <c r="AZ247" s="62"/>
      <c r="BA247" s="62"/>
      <c r="BB247" s="62"/>
      <c r="BC247" s="62"/>
      <c r="BD247" s="62"/>
      <c r="BE247" s="62"/>
      <c r="BF247" s="62"/>
      <c r="BG247" s="62"/>
      <c r="BH247" s="62"/>
      <c r="BI247" s="62"/>
      <c r="BJ247" s="62"/>
      <c r="BK247" s="62"/>
      <c r="BL247" s="62"/>
      <c r="BM247" s="62"/>
      <c r="BN247" s="62"/>
      <c r="BO247" s="62"/>
      <c r="BP247" s="62"/>
      <c r="BQ247" s="62"/>
      <c r="BR247" s="62"/>
      <c r="BS247" s="62"/>
      <c r="BT247" s="62"/>
      <c r="BU247" s="62"/>
      <c r="BV247" s="62"/>
      <c r="BW247" s="62"/>
      <c r="BX247" s="62"/>
      <c r="BY247" s="62"/>
      <c r="BZ247" s="62"/>
      <c r="CA247" s="62"/>
      <c r="CB247" s="62"/>
      <c r="CC247" s="62"/>
      <c r="CD247" s="62"/>
      <c r="CE247" s="62"/>
      <c r="CF247" s="62"/>
      <c r="CG247" s="62"/>
    </row>
    <row r="248" spans="1:85" s="4" customFormat="1" ht="64.5" customHeight="1" outlineLevel="1" x14ac:dyDescent="0.25">
      <c r="A248" s="25">
        <f t="shared" si="248"/>
        <v>206</v>
      </c>
      <c r="B248" s="26" t="s">
        <v>263</v>
      </c>
      <c r="C248" s="27" t="s">
        <v>275</v>
      </c>
      <c r="D248" s="28" t="s">
        <v>18</v>
      </c>
      <c r="E248" s="29">
        <f t="shared" si="215"/>
        <v>51.5</v>
      </c>
      <c r="F248" s="29">
        <v>0</v>
      </c>
      <c r="G248" s="30">
        <f t="shared" si="219"/>
        <v>0</v>
      </c>
      <c r="H248" s="30"/>
      <c r="I248" s="30">
        <f t="shared" si="224"/>
        <v>0</v>
      </c>
      <c r="J248" s="31">
        <v>0</v>
      </c>
      <c r="K248" s="30">
        <f t="shared" si="225"/>
        <v>0</v>
      </c>
      <c r="L248" s="30"/>
      <c r="M248" s="30">
        <f t="shared" si="226"/>
        <v>0</v>
      </c>
      <c r="N248" s="29">
        <v>51.5</v>
      </c>
      <c r="O248" s="30">
        <f t="shared" si="227"/>
        <v>0</v>
      </c>
      <c r="P248" s="30"/>
      <c r="Q248" s="30">
        <f t="shared" si="228"/>
        <v>0</v>
      </c>
      <c r="R248" s="30">
        <v>0</v>
      </c>
      <c r="S248" s="30">
        <f t="shared" si="252"/>
        <v>0</v>
      </c>
      <c r="T248" s="30"/>
      <c r="U248" s="30">
        <f t="shared" si="230"/>
        <v>0</v>
      </c>
      <c r="V248" s="29">
        <v>0</v>
      </c>
      <c r="W248" s="30">
        <f t="shared" si="221"/>
        <v>0</v>
      </c>
      <c r="X248" s="30"/>
      <c r="Y248" s="30">
        <f t="shared" si="231"/>
        <v>0</v>
      </c>
      <c r="Z248" s="31">
        <v>0</v>
      </c>
      <c r="AA248" s="30">
        <f t="shared" si="222"/>
        <v>0</v>
      </c>
      <c r="AB248" s="58"/>
      <c r="AC248" s="30">
        <f t="shared" si="232"/>
        <v>0</v>
      </c>
      <c r="AD248" s="31">
        <v>0</v>
      </c>
      <c r="AE248" s="30">
        <f t="shared" si="233"/>
        <v>0</v>
      </c>
      <c r="AF248" s="30"/>
      <c r="AG248" s="30">
        <f t="shared" si="234"/>
        <v>0</v>
      </c>
      <c r="AH248" s="30">
        <f t="shared" si="216"/>
        <v>0</v>
      </c>
      <c r="AI248" s="30">
        <f t="shared" si="242"/>
        <v>0</v>
      </c>
      <c r="AJ248" s="31">
        <v>0</v>
      </c>
      <c r="AK248" s="30" t="s">
        <v>314</v>
      </c>
      <c r="AL248" s="32">
        <v>0</v>
      </c>
      <c r="AM248" s="32">
        <f t="shared" si="235"/>
        <v>0</v>
      </c>
      <c r="AN248" s="32"/>
      <c r="AO248" s="32">
        <f t="shared" si="236"/>
        <v>0</v>
      </c>
      <c r="AP248" s="32">
        <f t="shared" si="240"/>
        <v>0</v>
      </c>
      <c r="AQ248" s="33">
        <f t="shared" si="214"/>
        <v>0</v>
      </c>
      <c r="AR248" s="82">
        <f t="shared" si="214"/>
        <v>0</v>
      </c>
      <c r="AS248" s="9"/>
      <c r="AT248" s="9"/>
      <c r="AU248" s="9"/>
      <c r="AV248" s="9"/>
      <c r="AW248" s="65"/>
      <c r="AX248" s="65"/>
      <c r="AY248" s="62"/>
      <c r="AZ248" s="62"/>
      <c r="BA248" s="62"/>
      <c r="BB248" s="62"/>
      <c r="BC248" s="62"/>
      <c r="BD248" s="62"/>
      <c r="BE248" s="62"/>
      <c r="BF248" s="62"/>
      <c r="BG248" s="62"/>
      <c r="BH248" s="62"/>
      <c r="BI248" s="62"/>
      <c r="BJ248" s="62"/>
      <c r="BK248" s="62"/>
      <c r="BL248" s="62"/>
      <c r="BM248" s="62"/>
      <c r="BN248" s="62"/>
      <c r="BO248" s="62"/>
      <c r="BP248" s="62"/>
      <c r="BQ248" s="62"/>
      <c r="BR248" s="62"/>
      <c r="BS248" s="62"/>
      <c r="BT248" s="62"/>
      <c r="BU248" s="62"/>
      <c r="BV248" s="62"/>
      <c r="BW248" s="62"/>
      <c r="BX248" s="62"/>
      <c r="BY248" s="62"/>
      <c r="BZ248" s="62"/>
      <c r="CA248" s="62"/>
      <c r="CB248" s="62"/>
      <c r="CC248" s="62"/>
      <c r="CD248" s="62"/>
      <c r="CE248" s="62"/>
      <c r="CF248" s="62"/>
      <c r="CG248" s="62"/>
    </row>
    <row r="249" spans="1:85" s="4" customFormat="1" ht="64.5" customHeight="1" outlineLevel="1" x14ac:dyDescent="0.25">
      <c r="A249" s="25">
        <f t="shared" si="248"/>
        <v>207</v>
      </c>
      <c r="B249" s="26" t="s">
        <v>262</v>
      </c>
      <c r="C249" s="27" t="s">
        <v>276</v>
      </c>
      <c r="D249" s="28" t="s">
        <v>18</v>
      </c>
      <c r="E249" s="29">
        <f t="shared" si="215"/>
        <v>50.4</v>
      </c>
      <c r="F249" s="29">
        <v>0</v>
      </c>
      <c r="G249" s="30">
        <f t="shared" si="219"/>
        <v>0</v>
      </c>
      <c r="H249" s="30"/>
      <c r="I249" s="30">
        <f t="shared" si="224"/>
        <v>0</v>
      </c>
      <c r="J249" s="31">
        <v>0</v>
      </c>
      <c r="K249" s="30">
        <f t="shared" si="225"/>
        <v>0</v>
      </c>
      <c r="L249" s="30"/>
      <c r="M249" s="30">
        <f t="shared" si="226"/>
        <v>0</v>
      </c>
      <c r="N249" s="29">
        <v>50.4</v>
      </c>
      <c r="O249" s="30">
        <f t="shared" si="227"/>
        <v>0</v>
      </c>
      <c r="P249" s="30"/>
      <c r="Q249" s="30">
        <f t="shared" si="228"/>
        <v>0</v>
      </c>
      <c r="R249" s="30">
        <v>0</v>
      </c>
      <c r="S249" s="30">
        <v>4.2</v>
      </c>
      <c r="T249" s="30"/>
      <c r="U249" s="30">
        <f t="shared" si="230"/>
        <v>0</v>
      </c>
      <c r="V249" s="29">
        <v>0</v>
      </c>
      <c r="W249" s="30">
        <f t="shared" si="221"/>
        <v>0</v>
      </c>
      <c r="X249" s="30"/>
      <c r="Y249" s="30">
        <f t="shared" si="231"/>
        <v>0</v>
      </c>
      <c r="Z249" s="31">
        <v>0</v>
      </c>
      <c r="AA249" s="30">
        <f t="shared" si="222"/>
        <v>0</v>
      </c>
      <c r="AB249" s="58"/>
      <c r="AC249" s="30">
        <f t="shared" si="232"/>
        <v>0</v>
      </c>
      <c r="AD249" s="31">
        <v>0</v>
      </c>
      <c r="AE249" s="30">
        <f t="shared" si="233"/>
        <v>0</v>
      </c>
      <c r="AF249" s="30"/>
      <c r="AG249" s="30">
        <f t="shared" si="234"/>
        <v>0</v>
      </c>
      <c r="AH249" s="30">
        <f t="shared" si="216"/>
        <v>0</v>
      </c>
      <c r="AI249" s="30">
        <f t="shared" si="242"/>
        <v>0</v>
      </c>
      <c r="AJ249" s="31">
        <v>0</v>
      </c>
      <c r="AK249" s="30" t="s">
        <v>314</v>
      </c>
      <c r="AL249" s="32">
        <v>0</v>
      </c>
      <c r="AM249" s="32">
        <f t="shared" si="235"/>
        <v>0</v>
      </c>
      <c r="AN249" s="32"/>
      <c r="AO249" s="32">
        <f t="shared" si="236"/>
        <v>0</v>
      </c>
      <c r="AP249" s="32">
        <f t="shared" si="240"/>
        <v>0</v>
      </c>
      <c r="AQ249" s="33">
        <f t="shared" si="214"/>
        <v>0</v>
      </c>
      <c r="AR249" s="82">
        <f t="shared" si="214"/>
        <v>0</v>
      </c>
      <c r="AS249" s="9"/>
      <c r="AT249" s="9"/>
      <c r="AU249" s="9"/>
      <c r="AV249" s="9"/>
      <c r="AW249" s="65"/>
      <c r="AX249" s="65"/>
      <c r="AY249" s="62"/>
      <c r="AZ249" s="62"/>
      <c r="BA249" s="62"/>
      <c r="BB249" s="62"/>
      <c r="BC249" s="62"/>
      <c r="BD249" s="62"/>
      <c r="BE249" s="62"/>
      <c r="BF249" s="62"/>
      <c r="BG249" s="62"/>
      <c r="BH249" s="62"/>
      <c r="BI249" s="62"/>
      <c r="BJ249" s="62"/>
      <c r="BK249" s="62"/>
      <c r="BL249" s="62"/>
      <c r="BM249" s="62"/>
      <c r="BN249" s="62"/>
      <c r="BO249" s="62"/>
      <c r="BP249" s="62"/>
      <c r="BQ249" s="62"/>
      <c r="BR249" s="62"/>
      <c r="BS249" s="62"/>
      <c r="BT249" s="62"/>
      <c r="BU249" s="62"/>
      <c r="BV249" s="62"/>
      <c r="BW249" s="62"/>
      <c r="BX249" s="62"/>
      <c r="BY249" s="62"/>
      <c r="BZ249" s="62"/>
      <c r="CA249" s="62"/>
      <c r="CB249" s="62"/>
      <c r="CC249" s="62"/>
      <c r="CD249" s="62"/>
      <c r="CE249" s="62"/>
      <c r="CF249" s="62"/>
      <c r="CG249" s="62"/>
    </row>
    <row r="250" spans="1:85" s="4" customFormat="1" ht="64.5" customHeight="1" outlineLevel="1" x14ac:dyDescent="0.25">
      <c r="A250" s="25">
        <f t="shared" si="248"/>
        <v>208</v>
      </c>
      <c r="B250" s="26" t="s">
        <v>264</v>
      </c>
      <c r="C250" s="27" t="s">
        <v>277</v>
      </c>
      <c r="D250" s="28" t="s">
        <v>18</v>
      </c>
      <c r="E250" s="29">
        <f t="shared" si="215"/>
        <v>41.2</v>
      </c>
      <c r="F250" s="29">
        <v>0</v>
      </c>
      <c r="G250" s="30">
        <f t="shared" si="219"/>
        <v>0</v>
      </c>
      <c r="H250" s="30"/>
      <c r="I250" s="30">
        <f t="shared" si="224"/>
        <v>0</v>
      </c>
      <c r="J250" s="31">
        <v>0</v>
      </c>
      <c r="K250" s="30">
        <f t="shared" si="225"/>
        <v>0</v>
      </c>
      <c r="L250" s="30"/>
      <c r="M250" s="30">
        <f t="shared" si="226"/>
        <v>0</v>
      </c>
      <c r="N250" s="29">
        <v>12.4</v>
      </c>
      <c r="O250" s="30">
        <f t="shared" si="227"/>
        <v>0</v>
      </c>
      <c r="P250" s="30"/>
      <c r="Q250" s="30">
        <f t="shared" si="228"/>
        <v>0</v>
      </c>
      <c r="R250" s="30">
        <v>0</v>
      </c>
      <c r="S250" s="30">
        <f t="shared" ref="S250:S251" si="253">T250/1.18</f>
        <v>0</v>
      </c>
      <c r="T250" s="30"/>
      <c r="U250" s="30">
        <f t="shared" si="230"/>
        <v>0</v>
      </c>
      <c r="V250" s="29">
        <v>26.8</v>
      </c>
      <c r="W250" s="30">
        <f t="shared" si="221"/>
        <v>0</v>
      </c>
      <c r="X250" s="30"/>
      <c r="Y250" s="30">
        <f t="shared" si="231"/>
        <v>0</v>
      </c>
      <c r="Z250" s="31">
        <v>0</v>
      </c>
      <c r="AA250" s="30">
        <f t="shared" si="222"/>
        <v>0</v>
      </c>
      <c r="AB250" s="58"/>
      <c r="AC250" s="30">
        <f t="shared" si="232"/>
        <v>0</v>
      </c>
      <c r="AD250" s="31">
        <v>2</v>
      </c>
      <c r="AE250" s="30">
        <f t="shared" si="233"/>
        <v>0</v>
      </c>
      <c r="AF250" s="30"/>
      <c r="AG250" s="30">
        <f t="shared" si="234"/>
        <v>0</v>
      </c>
      <c r="AH250" s="30">
        <f t="shared" si="216"/>
        <v>0</v>
      </c>
      <c r="AI250" s="30">
        <f t="shared" si="242"/>
        <v>0</v>
      </c>
      <c r="AJ250" s="31">
        <v>0</v>
      </c>
      <c r="AK250" s="30" t="s">
        <v>314</v>
      </c>
      <c r="AL250" s="32">
        <v>0</v>
      </c>
      <c r="AM250" s="32">
        <f t="shared" si="235"/>
        <v>0</v>
      </c>
      <c r="AN250" s="32"/>
      <c r="AO250" s="32">
        <f t="shared" si="236"/>
        <v>0</v>
      </c>
      <c r="AP250" s="32">
        <f t="shared" si="240"/>
        <v>0</v>
      </c>
      <c r="AQ250" s="33">
        <f t="shared" si="214"/>
        <v>0</v>
      </c>
      <c r="AR250" s="82">
        <f t="shared" si="214"/>
        <v>0</v>
      </c>
      <c r="AS250" s="9"/>
      <c r="AT250" s="9"/>
      <c r="AU250" s="9"/>
      <c r="AV250" s="9"/>
      <c r="AW250" s="65"/>
      <c r="AX250" s="65"/>
      <c r="AY250" s="62"/>
      <c r="AZ250" s="62"/>
      <c r="BA250" s="62"/>
      <c r="BB250" s="62"/>
      <c r="BC250" s="62"/>
      <c r="BD250" s="62"/>
      <c r="BE250" s="62"/>
      <c r="BF250" s="62"/>
      <c r="BG250" s="62"/>
      <c r="BH250" s="62"/>
      <c r="BI250" s="62"/>
      <c r="BJ250" s="62"/>
      <c r="BK250" s="62"/>
      <c r="BL250" s="62"/>
      <c r="BM250" s="62"/>
      <c r="BN250" s="62"/>
      <c r="BO250" s="62"/>
      <c r="BP250" s="62"/>
      <c r="BQ250" s="62"/>
      <c r="BR250" s="62"/>
      <c r="BS250" s="62"/>
      <c r="BT250" s="62"/>
      <c r="BU250" s="62"/>
      <c r="BV250" s="62"/>
      <c r="BW250" s="62"/>
      <c r="BX250" s="62"/>
      <c r="BY250" s="62"/>
      <c r="BZ250" s="62"/>
      <c r="CA250" s="62"/>
      <c r="CB250" s="62"/>
      <c r="CC250" s="62"/>
      <c r="CD250" s="62"/>
      <c r="CE250" s="62"/>
      <c r="CF250" s="62"/>
      <c r="CG250" s="62"/>
    </row>
    <row r="251" spans="1:85" s="4" customFormat="1" ht="64.5" customHeight="1" outlineLevel="1" x14ac:dyDescent="0.25">
      <c r="A251" s="25">
        <f t="shared" si="248"/>
        <v>209</v>
      </c>
      <c r="B251" s="26" t="s">
        <v>265</v>
      </c>
      <c r="C251" s="27" t="s">
        <v>297</v>
      </c>
      <c r="D251" s="28" t="s">
        <v>18</v>
      </c>
      <c r="E251" s="29">
        <f t="shared" si="215"/>
        <v>238.2</v>
      </c>
      <c r="F251" s="29">
        <v>0</v>
      </c>
      <c r="G251" s="30">
        <f t="shared" si="219"/>
        <v>0</v>
      </c>
      <c r="H251" s="30"/>
      <c r="I251" s="30">
        <f t="shared" si="224"/>
        <v>0</v>
      </c>
      <c r="J251" s="31">
        <v>0</v>
      </c>
      <c r="K251" s="30">
        <f t="shared" si="225"/>
        <v>0</v>
      </c>
      <c r="L251" s="30"/>
      <c r="M251" s="30">
        <f t="shared" si="226"/>
        <v>0</v>
      </c>
      <c r="N251" s="29">
        <v>219.2</v>
      </c>
      <c r="O251" s="30">
        <f t="shared" si="227"/>
        <v>0</v>
      </c>
      <c r="P251" s="30"/>
      <c r="Q251" s="30">
        <f t="shared" si="228"/>
        <v>0</v>
      </c>
      <c r="R251" s="30">
        <v>0</v>
      </c>
      <c r="S251" s="30">
        <f t="shared" si="253"/>
        <v>0</v>
      </c>
      <c r="T251" s="30"/>
      <c r="U251" s="30">
        <f t="shared" si="230"/>
        <v>0</v>
      </c>
      <c r="V251" s="29">
        <v>6.7</v>
      </c>
      <c r="W251" s="30">
        <f t="shared" si="221"/>
        <v>0</v>
      </c>
      <c r="X251" s="30"/>
      <c r="Y251" s="30">
        <f t="shared" si="231"/>
        <v>0</v>
      </c>
      <c r="Z251" s="31">
        <v>8.3000000000000007</v>
      </c>
      <c r="AA251" s="30">
        <f t="shared" si="222"/>
        <v>0</v>
      </c>
      <c r="AB251" s="58"/>
      <c r="AC251" s="30">
        <f t="shared" si="232"/>
        <v>0</v>
      </c>
      <c r="AD251" s="31">
        <v>4</v>
      </c>
      <c r="AE251" s="30">
        <f t="shared" si="233"/>
        <v>0</v>
      </c>
      <c r="AF251" s="30"/>
      <c r="AG251" s="30">
        <f t="shared" si="234"/>
        <v>0</v>
      </c>
      <c r="AH251" s="30">
        <f t="shared" si="216"/>
        <v>0</v>
      </c>
      <c r="AI251" s="30">
        <f t="shared" si="242"/>
        <v>0</v>
      </c>
      <c r="AJ251" s="31">
        <v>0</v>
      </c>
      <c r="AK251" s="30" t="s">
        <v>314</v>
      </c>
      <c r="AL251" s="32">
        <v>0</v>
      </c>
      <c r="AM251" s="32">
        <f t="shared" si="235"/>
        <v>0</v>
      </c>
      <c r="AN251" s="32"/>
      <c r="AO251" s="32">
        <f t="shared" si="236"/>
        <v>0</v>
      </c>
      <c r="AP251" s="32">
        <f t="shared" si="240"/>
        <v>0</v>
      </c>
      <c r="AQ251" s="33">
        <f t="shared" si="214"/>
        <v>0</v>
      </c>
      <c r="AR251" s="82">
        <f t="shared" si="214"/>
        <v>0</v>
      </c>
      <c r="AS251" s="9"/>
      <c r="AT251" s="9"/>
      <c r="AU251" s="9"/>
      <c r="AV251" s="9"/>
      <c r="AW251" s="65"/>
      <c r="AX251" s="65"/>
      <c r="AY251" s="62"/>
      <c r="AZ251" s="62"/>
      <c r="BA251" s="62"/>
      <c r="BB251" s="62"/>
      <c r="BC251" s="62"/>
      <c r="BD251" s="62"/>
      <c r="BE251" s="62"/>
      <c r="BF251" s="62"/>
      <c r="BG251" s="62"/>
      <c r="BH251" s="62"/>
      <c r="BI251" s="62"/>
      <c r="BJ251" s="62"/>
      <c r="BK251" s="62"/>
      <c r="BL251" s="62"/>
      <c r="BM251" s="62"/>
      <c r="BN251" s="62"/>
      <c r="BO251" s="62"/>
      <c r="BP251" s="62"/>
      <c r="BQ251" s="62"/>
      <c r="BR251" s="62"/>
      <c r="BS251" s="62"/>
      <c r="BT251" s="62"/>
      <c r="BU251" s="62"/>
      <c r="BV251" s="62"/>
      <c r="BW251" s="62"/>
      <c r="BX251" s="62"/>
      <c r="BY251" s="62"/>
      <c r="BZ251" s="62"/>
      <c r="CA251" s="62"/>
      <c r="CB251" s="62"/>
      <c r="CC251" s="62"/>
      <c r="CD251" s="62"/>
      <c r="CE251" s="62"/>
      <c r="CF251" s="62"/>
      <c r="CG251" s="62"/>
    </row>
    <row r="252" spans="1:85" s="62" customFormat="1" ht="64.5" customHeight="1" outlineLevel="1" x14ac:dyDescent="0.25">
      <c r="A252" s="25">
        <f>A251+1</f>
        <v>210</v>
      </c>
      <c r="B252" s="26" t="s">
        <v>267</v>
      </c>
      <c r="C252" s="27" t="s">
        <v>278</v>
      </c>
      <c r="D252" s="28" t="s">
        <v>18</v>
      </c>
      <c r="E252" s="29">
        <f t="shared" si="215"/>
        <v>50.8</v>
      </c>
      <c r="F252" s="29">
        <v>21.2</v>
      </c>
      <c r="G252" s="30">
        <f t="shared" si="219"/>
        <v>0</v>
      </c>
      <c r="H252" s="30"/>
      <c r="I252" s="30">
        <f t="shared" si="224"/>
        <v>0</v>
      </c>
      <c r="J252" s="31">
        <v>0</v>
      </c>
      <c r="K252" s="30">
        <f t="shared" si="225"/>
        <v>0</v>
      </c>
      <c r="L252" s="30"/>
      <c r="M252" s="30">
        <f t="shared" si="226"/>
        <v>0</v>
      </c>
      <c r="N252" s="29">
        <v>29.6</v>
      </c>
      <c r="O252" s="30">
        <f t="shared" si="227"/>
        <v>0</v>
      </c>
      <c r="P252" s="30"/>
      <c r="Q252" s="30">
        <f t="shared" si="228"/>
        <v>0</v>
      </c>
      <c r="R252" s="30">
        <v>0</v>
      </c>
      <c r="S252" s="30">
        <f t="shared" ref="S252:S257" si="254">T252/1.18</f>
        <v>0</v>
      </c>
      <c r="T252" s="30"/>
      <c r="U252" s="30">
        <f t="shared" si="230"/>
        <v>0</v>
      </c>
      <c r="V252" s="29">
        <v>0</v>
      </c>
      <c r="W252" s="30">
        <f t="shared" si="221"/>
        <v>0</v>
      </c>
      <c r="X252" s="30"/>
      <c r="Y252" s="30">
        <f t="shared" si="231"/>
        <v>0</v>
      </c>
      <c r="Z252" s="31">
        <v>0</v>
      </c>
      <c r="AA252" s="30">
        <f t="shared" si="222"/>
        <v>0</v>
      </c>
      <c r="AB252" s="58"/>
      <c r="AC252" s="30">
        <f t="shared" si="232"/>
        <v>0</v>
      </c>
      <c r="AD252" s="31">
        <v>0</v>
      </c>
      <c r="AE252" s="30">
        <f t="shared" si="233"/>
        <v>0</v>
      </c>
      <c r="AF252" s="30"/>
      <c r="AG252" s="30">
        <f t="shared" si="234"/>
        <v>0</v>
      </c>
      <c r="AH252" s="30">
        <f t="shared" si="216"/>
        <v>0</v>
      </c>
      <c r="AI252" s="30">
        <f t="shared" si="242"/>
        <v>0</v>
      </c>
      <c r="AJ252" s="31">
        <v>0</v>
      </c>
      <c r="AK252" s="30" t="s">
        <v>314</v>
      </c>
      <c r="AL252" s="32">
        <v>0</v>
      </c>
      <c r="AM252" s="32">
        <f t="shared" si="235"/>
        <v>0</v>
      </c>
      <c r="AN252" s="32"/>
      <c r="AO252" s="32">
        <f t="shared" si="236"/>
        <v>0</v>
      </c>
      <c r="AP252" s="32">
        <f t="shared" si="240"/>
        <v>0</v>
      </c>
      <c r="AQ252" s="33">
        <f t="shared" si="214"/>
        <v>0</v>
      </c>
      <c r="AR252" s="82">
        <f t="shared" si="214"/>
        <v>0</v>
      </c>
      <c r="AS252" s="65"/>
      <c r="AT252" s="65"/>
      <c r="AU252" s="65"/>
      <c r="AV252" s="65"/>
      <c r="AW252" s="65"/>
      <c r="AX252" s="65"/>
    </row>
    <row r="253" spans="1:85" s="62" customFormat="1" ht="64.5" customHeight="1" outlineLevel="1" x14ac:dyDescent="0.25">
      <c r="A253" s="25">
        <f t="shared" si="248"/>
        <v>211</v>
      </c>
      <c r="B253" s="26" t="s">
        <v>268</v>
      </c>
      <c r="C253" s="27" t="s">
        <v>279</v>
      </c>
      <c r="D253" s="28" t="s">
        <v>18</v>
      </c>
      <c r="E253" s="29">
        <f t="shared" si="215"/>
        <v>7</v>
      </c>
      <c r="F253" s="29">
        <f>7</f>
        <v>7</v>
      </c>
      <c r="G253" s="30">
        <f t="shared" si="219"/>
        <v>0</v>
      </c>
      <c r="H253" s="30"/>
      <c r="I253" s="30">
        <f t="shared" si="224"/>
        <v>0</v>
      </c>
      <c r="J253" s="31">
        <v>0</v>
      </c>
      <c r="K253" s="30">
        <f t="shared" si="225"/>
        <v>0</v>
      </c>
      <c r="L253" s="30"/>
      <c r="M253" s="30">
        <f t="shared" si="226"/>
        <v>0</v>
      </c>
      <c r="N253" s="29">
        <v>0</v>
      </c>
      <c r="O253" s="30">
        <f t="shared" si="227"/>
        <v>0</v>
      </c>
      <c r="P253" s="30"/>
      <c r="Q253" s="30">
        <f t="shared" si="228"/>
        <v>0</v>
      </c>
      <c r="R253" s="30">
        <v>0</v>
      </c>
      <c r="S253" s="30">
        <f t="shared" si="254"/>
        <v>0</v>
      </c>
      <c r="T253" s="30"/>
      <c r="U253" s="30">
        <f t="shared" si="230"/>
        <v>0</v>
      </c>
      <c r="V253" s="29">
        <v>0</v>
      </c>
      <c r="W253" s="30">
        <f t="shared" si="221"/>
        <v>0</v>
      </c>
      <c r="X253" s="30"/>
      <c r="Y253" s="30">
        <f t="shared" si="231"/>
        <v>0</v>
      </c>
      <c r="Z253" s="31">
        <v>0</v>
      </c>
      <c r="AA253" s="30">
        <f t="shared" si="222"/>
        <v>0</v>
      </c>
      <c r="AB253" s="58"/>
      <c r="AC253" s="30">
        <f t="shared" si="232"/>
        <v>0</v>
      </c>
      <c r="AD253" s="31">
        <v>0</v>
      </c>
      <c r="AE253" s="30">
        <f t="shared" si="233"/>
        <v>0</v>
      </c>
      <c r="AF253" s="30"/>
      <c r="AG253" s="30">
        <f t="shared" si="234"/>
        <v>0</v>
      </c>
      <c r="AH253" s="30">
        <f t="shared" si="216"/>
        <v>0</v>
      </c>
      <c r="AI253" s="30">
        <f t="shared" si="242"/>
        <v>0</v>
      </c>
      <c r="AJ253" s="31">
        <v>0</v>
      </c>
      <c r="AK253" s="30" t="s">
        <v>314</v>
      </c>
      <c r="AL253" s="32">
        <v>0</v>
      </c>
      <c r="AM253" s="32">
        <f t="shared" si="235"/>
        <v>0</v>
      </c>
      <c r="AN253" s="32"/>
      <c r="AO253" s="32">
        <f t="shared" si="236"/>
        <v>0</v>
      </c>
      <c r="AP253" s="32">
        <f t="shared" si="240"/>
        <v>0</v>
      </c>
      <c r="AQ253" s="33">
        <f t="shared" si="214"/>
        <v>0</v>
      </c>
      <c r="AR253" s="82">
        <f t="shared" si="214"/>
        <v>0</v>
      </c>
      <c r="AS253" s="65"/>
      <c r="AT253" s="65"/>
      <c r="AU253" s="65"/>
      <c r="AV253" s="65"/>
      <c r="AW253" s="65"/>
      <c r="AX253" s="65"/>
    </row>
    <row r="254" spans="1:85" s="62" customFormat="1" ht="64.5" customHeight="1" outlineLevel="1" x14ac:dyDescent="0.25">
      <c r="A254" s="25">
        <f>A253+1</f>
        <v>212</v>
      </c>
      <c r="B254" s="26" t="s">
        <v>266</v>
      </c>
      <c r="C254" s="27" t="s">
        <v>280</v>
      </c>
      <c r="D254" s="28" t="s">
        <v>18</v>
      </c>
      <c r="E254" s="29">
        <f t="shared" si="215"/>
        <v>57.300000000000004</v>
      </c>
      <c r="F254" s="29">
        <v>0</v>
      </c>
      <c r="G254" s="30">
        <f t="shared" si="219"/>
        <v>0</v>
      </c>
      <c r="H254" s="30"/>
      <c r="I254" s="30">
        <f t="shared" si="224"/>
        <v>0</v>
      </c>
      <c r="J254" s="31">
        <v>0</v>
      </c>
      <c r="K254" s="30">
        <f t="shared" si="225"/>
        <v>0</v>
      </c>
      <c r="L254" s="30"/>
      <c r="M254" s="30">
        <f t="shared" si="226"/>
        <v>0</v>
      </c>
      <c r="N254" s="29">
        <v>51.6</v>
      </c>
      <c r="O254" s="30">
        <f t="shared" si="227"/>
        <v>0</v>
      </c>
      <c r="P254" s="30"/>
      <c r="Q254" s="30">
        <f t="shared" si="228"/>
        <v>0</v>
      </c>
      <c r="R254" s="30">
        <v>0</v>
      </c>
      <c r="S254" s="30">
        <f t="shared" si="254"/>
        <v>0</v>
      </c>
      <c r="T254" s="30"/>
      <c r="U254" s="30">
        <f t="shared" si="230"/>
        <v>0</v>
      </c>
      <c r="V254" s="29">
        <v>5.7</v>
      </c>
      <c r="W254" s="30">
        <f t="shared" si="221"/>
        <v>0</v>
      </c>
      <c r="X254" s="30"/>
      <c r="Y254" s="30">
        <f>X254*V254</f>
        <v>0</v>
      </c>
      <c r="Z254" s="31">
        <v>0</v>
      </c>
      <c r="AA254" s="30">
        <f t="shared" si="222"/>
        <v>0</v>
      </c>
      <c r="AB254" s="58"/>
      <c r="AC254" s="30">
        <f t="shared" si="232"/>
        <v>0</v>
      </c>
      <c r="AD254" s="31">
        <v>0</v>
      </c>
      <c r="AE254" s="30">
        <f t="shared" si="233"/>
        <v>0</v>
      </c>
      <c r="AF254" s="30"/>
      <c r="AG254" s="30">
        <f t="shared" si="234"/>
        <v>0</v>
      </c>
      <c r="AH254" s="30">
        <f t="shared" si="216"/>
        <v>0</v>
      </c>
      <c r="AI254" s="30">
        <f t="shared" si="242"/>
        <v>0</v>
      </c>
      <c r="AJ254" s="31">
        <v>0</v>
      </c>
      <c r="AK254" s="30" t="s">
        <v>314</v>
      </c>
      <c r="AL254" s="32">
        <v>0</v>
      </c>
      <c r="AM254" s="32">
        <f t="shared" si="235"/>
        <v>0</v>
      </c>
      <c r="AN254" s="32"/>
      <c r="AO254" s="32">
        <f t="shared" si="236"/>
        <v>0</v>
      </c>
      <c r="AP254" s="32">
        <f t="shared" ref="AP254:AP255" si="255">AN254*AJ254</f>
        <v>0</v>
      </c>
      <c r="AQ254" s="33">
        <f t="shared" si="214"/>
        <v>0</v>
      </c>
      <c r="AR254" s="82">
        <f t="shared" si="214"/>
        <v>0</v>
      </c>
      <c r="AS254" s="65"/>
      <c r="AT254" s="65"/>
      <c r="AU254" s="65"/>
      <c r="AV254" s="65"/>
      <c r="AW254" s="65"/>
      <c r="AX254" s="65"/>
    </row>
    <row r="255" spans="1:85" s="62" customFormat="1" ht="64.5" customHeight="1" outlineLevel="1" x14ac:dyDescent="0.25">
      <c r="A255" s="25">
        <f t="shared" ref="A255:A257" si="256">A254+1</f>
        <v>213</v>
      </c>
      <c r="B255" s="26" t="s">
        <v>266</v>
      </c>
      <c r="C255" s="133" t="s">
        <v>311</v>
      </c>
      <c r="D255" s="28"/>
      <c r="E255" s="29">
        <f t="shared" si="215"/>
        <v>68.099999999999994</v>
      </c>
      <c r="F255" s="29">
        <v>58.1</v>
      </c>
      <c r="G255" s="30">
        <f t="shared" si="219"/>
        <v>0</v>
      </c>
      <c r="H255" s="30"/>
      <c r="I255" s="30">
        <f t="shared" si="224"/>
        <v>0</v>
      </c>
      <c r="J255" s="31">
        <v>0</v>
      </c>
      <c r="K255" s="30">
        <f t="shared" si="225"/>
        <v>0</v>
      </c>
      <c r="L255" s="30"/>
      <c r="M255" s="30">
        <f t="shared" si="226"/>
        <v>0</v>
      </c>
      <c r="N255" s="29">
        <v>0</v>
      </c>
      <c r="O255" s="30">
        <f t="shared" si="227"/>
        <v>0</v>
      </c>
      <c r="P255" s="30"/>
      <c r="Q255" s="30">
        <f t="shared" si="228"/>
        <v>0</v>
      </c>
      <c r="R255" s="30">
        <v>0</v>
      </c>
      <c r="S255" s="30">
        <f t="shared" si="254"/>
        <v>0</v>
      </c>
      <c r="T255" s="30"/>
      <c r="U255" s="30">
        <f t="shared" si="230"/>
        <v>0</v>
      </c>
      <c r="V255" s="29">
        <v>10</v>
      </c>
      <c r="W255" s="30">
        <f t="shared" si="221"/>
        <v>0</v>
      </c>
      <c r="X255" s="30"/>
      <c r="Y255" s="30">
        <f t="shared" ref="Y255:Y257" si="257">X255*V255</f>
        <v>0</v>
      </c>
      <c r="Z255" s="31">
        <v>0</v>
      </c>
      <c r="AA255" s="30">
        <f t="shared" si="222"/>
        <v>0</v>
      </c>
      <c r="AB255" s="58"/>
      <c r="AC255" s="30">
        <f t="shared" si="232"/>
        <v>0</v>
      </c>
      <c r="AD255" s="31">
        <v>0</v>
      </c>
      <c r="AE255" s="30">
        <f t="shared" si="233"/>
        <v>0</v>
      </c>
      <c r="AF255" s="30"/>
      <c r="AG255" s="30">
        <f t="shared" si="234"/>
        <v>0</v>
      </c>
      <c r="AH255" s="30">
        <f t="shared" si="216"/>
        <v>0</v>
      </c>
      <c r="AI255" s="30">
        <f t="shared" si="242"/>
        <v>0</v>
      </c>
      <c r="AJ255" s="31">
        <v>0</v>
      </c>
      <c r="AK255" s="30" t="s">
        <v>314</v>
      </c>
      <c r="AL255" s="32">
        <v>0</v>
      </c>
      <c r="AM255" s="32">
        <f t="shared" ref="AM255:AM257" si="258">AN255/1.18</f>
        <v>0</v>
      </c>
      <c r="AN255" s="32"/>
      <c r="AO255" s="32">
        <f t="shared" ref="AO255:AO257" si="259">AM255*AJ255</f>
        <v>0</v>
      </c>
      <c r="AP255" s="32">
        <f t="shared" si="255"/>
        <v>0</v>
      </c>
      <c r="AQ255" s="33">
        <f t="shared" ref="AQ255:AQ257" si="260">AH255+AO255</f>
        <v>0</v>
      </c>
      <c r="AR255" s="82">
        <f t="shared" ref="AR255:AR257" si="261">AI255+AP255</f>
        <v>0</v>
      </c>
      <c r="AS255" s="65"/>
      <c r="AT255" s="65"/>
      <c r="AU255" s="65"/>
      <c r="AV255" s="65"/>
      <c r="AW255" s="65"/>
      <c r="AX255" s="65"/>
    </row>
    <row r="256" spans="1:85" s="62" customFormat="1" ht="64.5" customHeight="1" outlineLevel="1" x14ac:dyDescent="0.25">
      <c r="A256" s="25">
        <f t="shared" si="256"/>
        <v>214</v>
      </c>
      <c r="B256" s="26" t="s">
        <v>266</v>
      </c>
      <c r="C256" s="133" t="s">
        <v>312</v>
      </c>
      <c r="D256" s="28"/>
      <c r="E256" s="29">
        <f t="shared" si="215"/>
        <v>68.099999999999994</v>
      </c>
      <c r="F256" s="29">
        <v>68.099999999999994</v>
      </c>
      <c r="G256" s="30">
        <f t="shared" si="219"/>
        <v>0</v>
      </c>
      <c r="H256" s="30"/>
      <c r="I256" s="30">
        <f t="shared" si="224"/>
        <v>0</v>
      </c>
      <c r="J256" s="31">
        <v>0</v>
      </c>
      <c r="K256" s="30">
        <f t="shared" si="225"/>
        <v>0</v>
      </c>
      <c r="L256" s="30"/>
      <c r="M256" s="30">
        <f t="shared" si="226"/>
        <v>0</v>
      </c>
      <c r="N256" s="29">
        <v>0</v>
      </c>
      <c r="O256" s="30">
        <f t="shared" si="227"/>
        <v>0</v>
      </c>
      <c r="P256" s="30"/>
      <c r="Q256" s="30">
        <f t="shared" si="228"/>
        <v>0</v>
      </c>
      <c r="R256" s="30">
        <v>0</v>
      </c>
      <c r="S256" s="30">
        <f t="shared" si="254"/>
        <v>0</v>
      </c>
      <c r="T256" s="30"/>
      <c r="U256" s="30">
        <f t="shared" si="230"/>
        <v>0</v>
      </c>
      <c r="V256" s="29">
        <v>0</v>
      </c>
      <c r="W256" s="30">
        <f t="shared" si="221"/>
        <v>0</v>
      </c>
      <c r="X256" s="30"/>
      <c r="Y256" s="30">
        <f t="shared" si="257"/>
        <v>0</v>
      </c>
      <c r="Z256" s="31">
        <v>0</v>
      </c>
      <c r="AA256" s="30">
        <f t="shared" si="222"/>
        <v>0</v>
      </c>
      <c r="AB256" s="58"/>
      <c r="AC256" s="30">
        <f t="shared" si="232"/>
        <v>0</v>
      </c>
      <c r="AD256" s="31">
        <v>0</v>
      </c>
      <c r="AE256" s="30">
        <f t="shared" si="233"/>
        <v>0</v>
      </c>
      <c r="AF256" s="30"/>
      <c r="AG256" s="30">
        <f t="shared" si="234"/>
        <v>0</v>
      </c>
      <c r="AH256" s="30">
        <f t="shared" si="216"/>
        <v>0</v>
      </c>
      <c r="AI256" s="30">
        <f t="shared" si="242"/>
        <v>0</v>
      </c>
      <c r="AJ256" s="31">
        <v>0</v>
      </c>
      <c r="AK256" s="30" t="s">
        <v>314</v>
      </c>
      <c r="AL256" s="32">
        <v>0</v>
      </c>
      <c r="AM256" s="32">
        <f t="shared" si="258"/>
        <v>0</v>
      </c>
      <c r="AN256" s="32"/>
      <c r="AO256" s="32">
        <f t="shared" si="259"/>
        <v>0</v>
      </c>
      <c r="AP256" s="32">
        <f t="shared" ref="AP256:AP257" si="262">AN256*AJ256</f>
        <v>0</v>
      </c>
      <c r="AQ256" s="33">
        <f t="shared" si="260"/>
        <v>0</v>
      </c>
      <c r="AR256" s="82">
        <f t="shared" si="261"/>
        <v>0</v>
      </c>
      <c r="AS256" s="65"/>
      <c r="AT256" s="65"/>
      <c r="AU256" s="65"/>
      <c r="AV256" s="65"/>
      <c r="AW256" s="65"/>
      <c r="AX256" s="65"/>
    </row>
    <row r="257" spans="1:85" s="62" customFormat="1" ht="64.5" customHeight="1" outlineLevel="1" x14ac:dyDescent="0.25">
      <c r="A257" s="25">
        <f t="shared" si="256"/>
        <v>215</v>
      </c>
      <c r="B257" s="26" t="s">
        <v>266</v>
      </c>
      <c r="C257" s="133" t="s">
        <v>313</v>
      </c>
      <c r="D257" s="28"/>
      <c r="E257" s="29">
        <f t="shared" si="215"/>
        <v>8</v>
      </c>
      <c r="F257" s="29">
        <v>8</v>
      </c>
      <c r="G257" s="30">
        <f t="shared" si="219"/>
        <v>0</v>
      </c>
      <c r="H257" s="30"/>
      <c r="I257" s="30">
        <f t="shared" si="224"/>
        <v>0</v>
      </c>
      <c r="J257" s="31">
        <v>0</v>
      </c>
      <c r="K257" s="30">
        <f t="shared" si="225"/>
        <v>0</v>
      </c>
      <c r="L257" s="30"/>
      <c r="M257" s="30">
        <f t="shared" si="226"/>
        <v>0</v>
      </c>
      <c r="N257" s="29">
        <v>0</v>
      </c>
      <c r="O257" s="30">
        <f t="shared" si="227"/>
        <v>0</v>
      </c>
      <c r="P257" s="30"/>
      <c r="Q257" s="30">
        <f t="shared" si="228"/>
        <v>0</v>
      </c>
      <c r="R257" s="30">
        <v>0</v>
      </c>
      <c r="S257" s="30">
        <f t="shared" si="254"/>
        <v>0</v>
      </c>
      <c r="T257" s="30"/>
      <c r="U257" s="30">
        <f t="shared" si="230"/>
        <v>0</v>
      </c>
      <c r="V257" s="29">
        <v>0</v>
      </c>
      <c r="W257" s="30">
        <f t="shared" si="221"/>
        <v>0</v>
      </c>
      <c r="X257" s="30"/>
      <c r="Y257" s="30">
        <f t="shared" si="257"/>
        <v>0</v>
      </c>
      <c r="Z257" s="31">
        <v>0</v>
      </c>
      <c r="AA257" s="30">
        <f t="shared" si="222"/>
        <v>0</v>
      </c>
      <c r="AB257" s="58"/>
      <c r="AC257" s="30">
        <f t="shared" si="232"/>
        <v>0</v>
      </c>
      <c r="AD257" s="31">
        <v>0</v>
      </c>
      <c r="AE257" s="30">
        <f t="shared" si="233"/>
        <v>0</v>
      </c>
      <c r="AF257" s="30"/>
      <c r="AG257" s="30">
        <f t="shared" si="234"/>
        <v>0</v>
      </c>
      <c r="AH257" s="30">
        <f t="shared" si="216"/>
        <v>0</v>
      </c>
      <c r="AI257" s="30">
        <f t="shared" si="242"/>
        <v>0</v>
      </c>
      <c r="AJ257" s="31">
        <v>0</v>
      </c>
      <c r="AK257" s="30" t="s">
        <v>314</v>
      </c>
      <c r="AL257" s="32">
        <v>0</v>
      </c>
      <c r="AM257" s="32">
        <f t="shared" si="258"/>
        <v>0</v>
      </c>
      <c r="AN257" s="32"/>
      <c r="AO257" s="32">
        <f t="shared" si="259"/>
        <v>0</v>
      </c>
      <c r="AP257" s="32">
        <f t="shared" si="262"/>
        <v>0</v>
      </c>
      <c r="AQ257" s="33">
        <f t="shared" si="260"/>
        <v>0</v>
      </c>
      <c r="AR257" s="82">
        <f t="shared" si="261"/>
        <v>0</v>
      </c>
      <c r="AS257" s="65"/>
      <c r="AT257" s="65"/>
      <c r="AU257" s="65"/>
      <c r="AV257" s="65"/>
      <c r="AW257" s="65"/>
      <c r="AX257" s="65"/>
    </row>
    <row r="258" spans="1:85" ht="31.5" customHeight="1" x14ac:dyDescent="0.3">
      <c r="A258" s="176" t="s">
        <v>270</v>
      </c>
      <c r="B258" s="177"/>
      <c r="C258" s="178"/>
      <c r="D258" s="73"/>
      <c r="E258" s="74">
        <f>SUM(E12:E257)</f>
        <v>150224.14999999994</v>
      </c>
      <c r="F258" s="74">
        <f t="shared" ref="F258:AR258" si="263">SUM(F12:F257)</f>
        <v>38321.599999999991</v>
      </c>
      <c r="G258" s="74"/>
      <c r="H258" s="74"/>
      <c r="I258" s="74">
        <f t="shared" si="263"/>
        <v>0</v>
      </c>
      <c r="J258" s="74">
        <f t="shared" si="263"/>
        <v>54367.420000000027</v>
      </c>
      <c r="K258" s="74"/>
      <c r="L258" s="74"/>
      <c r="M258" s="74">
        <f t="shared" si="263"/>
        <v>0</v>
      </c>
      <c r="N258" s="74">
        <f t="shared" si="263"/>
        <v>2756.2599999999998</v>
      </c>
      <c r="O258" s="74"/>
      <c r="P258" s="74"/>
      <c r="Q258" s="74">
        <f t="shared" si="263"/>
        <v>0</v>
      </c>
      <c r="R258" s="74">
        <f t="shared" si="263"/>
        <v>7794.55</v>
      </c>
      <c r="S258" s="74"/>
      <c r="T258" s="74"/>
      <c r="U258" s="74">
        <f t="shared" si="263"/>
        <v>0</v>
      </c>
      <c r="V258" s="74">
        <f t="shared" si="263"/>
        <v>40037.709999999985</v>
      </c>
      <c r="W258" s="74"/>
      <c r="X258" s="74"/>
      <c r="Y258" s="74">
        <f t="shared" si="263"/>
        <v>0</v>
      </c>
      <c r="Z258" s="74">
        <f t="shared" si="263"/>
        <v>4441.7</v>
      </c>
      <c r="AA258" s="74"/>
      <c r="AB258" s="74"/>
      <c r="AC258" s="74">
        <f t="shared" si="263"/>
        <v>0</v>
      </c>
      <c r="AD258" s="74">
        <f t="shared" si="263"/>
        <v>2504.9100000000008</v>
      </c>
      <c r="AE258" s="74"/>
      <c r="AF258" s="74"/>
      <c r="AG258" s="74">
        <f t="shared" si="263"/>
        <v>0</v>
      </c>
      <c r="AH258" s="74">
        <f t="shared" si="263"/>
        <v>0</v>
      </c>
      <c r="AI258" s="74">
        <f t="shared" si="263"/>
        <v>0</v>
      </c>
      <c r="AJ258" s="74">
        <f t="shared" si="263"/>
        <v>95780.900000000009</v>
      </c>
      <c r="AK258" s="74"/>
      <c r="AL258" s="74">
        <f t="shared" si="263"/>
        <v>0</v>
      </c>
      <c r="AM258" s="74"/>
      <c r="AN258" s="74"/>
      <c r="AO258" s="74">
        <f t="shared" si="263"/>
        <v>0</v>
      </c>
      <c r="AP258" s="74">
        <f t="shared" si="263"/>
        <v>0</v>
      </c>
      <c r="AQ258" s="74">
        <f t="shared" si="263"/>
        <v>0</v>
      </c>
      <c r="AR258" s="74">
        <f t="shared" si="263"/>
        <v>0</v>
      </c>
      <c r="AT258" s="132"/>
      <c r="AU258" s="83"/>
      <c r="AW258" s="83"/>
      <c r="AX258" s="83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</row>
    <row r="259" spans="1:85" ht="21" x14ac:dyDescent="0.35">
      <c r="F259" s="1"/>
      <c r="J259" s="1"/>
      <c r="N259" s="1"/>
      <c r="R259" s="1"/>
      <c r="V259" s="1"/>
      <c r="Z259" s="1"/>
      <c r="AD259" s="1"/>
      <c r="AH259" s="23"/>
      <c r="AI259" s="23"/>
      <c r="AJ259" s="1"/>
      <c r="AK259" s="1"/>
      <c r="AL259" s="1"/>
      <c r="AM259" s="1"/>
      <c r="AN259" s="1"/>
      <c r="AO259" s="6"/>
      <c r="AP259" s="6"/>
      <c r="AQ259" s="134"/>
      <c r="AR259" s="135"/>
      <c r="AS259" s="129"/>
      <c r="AT259" s="83"/>
      <c r="AU259" s="83"/>
    </row>
    <row r="260" spans="1:85" ht="21" x14ac:dyDescent="0.35">
      <c r="AQ260" s="128"/>
      <c r="AR260" s="125"/>
      <c r="AS260" s="130"/>
      <c r="AT260" s="131"/>
      <c r="AU260" s="83"/>
    </row>
    <row r="261" spans="1:85" ht="18.75" x14ac:dyDescent="0.3">
      <c r="J261" s="21"/>
      <c r="AH261" s="123"/>
      <c r="AI261" s="123"/>
      <c r="AO261" s="123"/>
      <c r="AP261" s="123"/>
      <c r="AQ261" s="136"/>
      <c r="AR261" s="125"/>
      <c r="AS261" s="124"/>
      <c r="AT261" s="83"/>
    </row>
    <row r="262" spans="1:85" ht="21" x14ac:dyDescent="0.35">
      <c r="AQ262" s="129"/>
      <c r="AR262" s="130"/>
      <c r="AS262" s="7"/>
      <c r="AT262" s="83"/>
    </row>
    <row r="263" spans="1:85" x14ac:dyDescent="0.25">
      <c r="AQ263" s="7"/>
      <c r="AR263" s="124"/>
      <c r="AS263" s="7"/>
      <c r="AT263" s="83"/>
    </row>
    <row r="264" spans="1:85" ht="18.75" x14ac:dyDescent="0.3">
      <c r="AQ264" s="7"/>
      <c r="AR264" s="125"/>
      <c r="AS264" s="7"/>
      <c r="AT264" s="83"/>
    </row>
    <row r="265" spans="1:85" ht="20.25" x14ac:dyDescent="0.25">
      <c r="F265" s="140"/>
      <c r="G265" s="169"/>
      <c r="H265" s="169"/>
      <c r="I265" s="169"/>
      <c r="J265" s="169"/>
      <c r="K265" s="169"/>
      <c r="L265" s="169"/>
      <c r="M265" s="169"/>
      <c r="N265" s="169"/>
      <c r="AQ265" s="7"/>
      <c r="AR265" s="124"/>
      <c r="AS265" s="7"/>
      <c r="AT265" s="83"/>
    </row>
    <row r="266" spans="1:85" ht="20.25" x14ac:dyDescent="0.25">
      <c r="C266" s="169" t="s">
        <v>292</v>
      </c>
      <c r="D266" s="169"/>
      <c r="E266" s="19"/>
      <c r="F266" s="169"/>
      <c r="G266" s="169"/>
      <c r="H266" s="169"/>
      <c r="I266" s="169"/>
      <c r="J266" s="169"/>
      <c r="L266" s="18"/>
      <c r="M266" s="76"/>
      <c r="N266" s="18"/>
      <c r="AQ266" s="7"/>
      <c r="AR266" s="124"/>
      <c r="AS266" s="7"/>
      <c r="AT266" s="83"/>
    </row>
    <row r="267" spans="1:85" ht="20.25" x14ac:dyDescent="0.25">
      <c r="C267" s="76"/>
      <c r="D267" s="18"/>
      <c r="E267" s="20"/>
      <c r="F267" s="139"/>
      <c r="G267" s="168"/>
      <c r="H267" s="168"/>
      <c r="I267" s="168"/>
      <c r="J267" s="168"/>
      <c r="K267" s="168"/>
      <c r="L267" s="168"/>
      <c r="M267" s="168"/>
      <c r="N267" s="168"/>
      <c r="AQ267" s="7"/>
      <c r="AR267" s="124"/>
      <c r="AS267" s="7"/>
      <c r="AT267" s="83"/>
    </row>
    <row r="268" spans="1:85" ht="18" customHeight="1" x14ac:dyDescent="0.25">
      <c r="C268" s="168"/>
      <c r="D268" s="168"/>
      <c r="E268" s="20"/>
      <c r="F268" s="170"/>
      <c r="G268" s="170"/>
      <c r="H268" s="170"/>
      <c r="I268" s="170"/>
      <c r="J268" s="170"/>
      <c r="K268" s="86"/>
      <c r="L268" s="86"/>
      <c r="M268" s="86"/>
      <c r="N268" s="86"/>
      <c r="AQ268" s="7"/>
      <c r="AR268" s="124"/>
      <c r="AS268" s="7"/>
      <c r="AT268" s="83"/>
    </row>
    <row r="269" spans="1:85" ht="59.25" customHeight="1" x14ac:dyDescent="0.25">
      <c r="C269" s="168" t="s">
        <v>253</v>
      </c>
      <c r="D269" s="168"/>
      <c r="E269" s="20"/>
      <c r="F269" s="170"/>
      <c r="G269" s="170"/>
      <c r="H269" s="170"/>
      <c r="I269" s="170"/>
      <c r="J269" s="170"/>
      <c r="K269" s="86"/>
      <c r="L269" s="86"/>
      <c r="M269" s="86"/>
      <c r="N269" s="86"/>
    </row>
    <row r="270" spans="1:85" ht="31.5" customHeight="1" x14ac:dyDescent="0.3">
      <c r="C270" s="77"/>
      <c r="E270" s="20"/>
      <c r="I270" s="87"/>
      <c r="J270" s="87"/>
      <c r="K270" s="87"/>
      <c r="L270" s="87"/>
      <c r="M270" s="87"/>
      <c r="N270" s="87"/>
    </row>
    <row r="271" spans="1:85" ht="63" customHeight="1" x14ac:dyDescent="0.25">
      <c r="C271" s="168"/>
      <c r="D271" s="168"/>
      <c r="E271" s="20"/>
      <c r="F271" s="87"/>
      <c r="G271" s="87"/>
      <c r="H271" s="87"/>
      <c r="I271" s="87"/>
      <c r="J271" s="87"/>
      <c r="K271" s="87"/>
      <c r="L271" s="87"/>
      <c r="M271" s="87"/>
      <c r="N271" s="87"/>
    </row>
    <row r="272" spans="1:85" ht="15.75" x14ac:dyDescent="0.25">
      <c r="C272" s="75" t="s">
        <v>254</v>
      </c>
      <c r="E272" s="2"/>
      <c r="F272" s="1"/>
      <c r="J272" s="1"/>
    </row>
  </sheetData>
  <mergeCells count="63">
    <mergeCell ref="A5:AR6"/>
    <mergeCell ref="E7:AI7"/>
    <mergeCell ref="F8:AI8"/>
    <mergeCell ref="A258:C258"/>
    <mergeCell ref="A134:C134"/>
    <mergeCell ref="A163:C163"/>
    <mergeCell ref="A164:C164"/>
    <mergeCell ref="A171:C171"/>
    <mergeCell ref="A175:C175"/>
    <mergeCell ref="A185:C185"/>
    <mergeCell ref="A210:C210"/>
    <mergeCell ref="A214:C214"/>
    <mergeCell ref="A187:C187"/>
    <mergeCell ref="A190:C190"/>
    <mergeCell ref="A197:C197"/>
    <mergeCell ref="A201:C201"/>
    <mergeCell ref="A206:C206"/>
    <mergeCell ref="A230:C230"/>
    <mergeCell ref="M267:N267"/>
    <mergeCell ref="G265:H265"/>
    <mergeCell ref="I265:J265"/>
    <mergeCell ref="K265:L265"/>
    <mergeCell ref="M265:N265"/>
    <mergeCell ref="G267:H267"/>
    <mergeCell ref="I267:J267"/>
    <mergeCell ref="K267:L267"/>
    <mergeCell ref="C268:D268"/>
    <mergeCell ref="C271:D271"/>
    <mergeCell ref="C269:D269"/>
    <mergeCell ref="C266:D266"/>
    <mergeCell ref="F268:J269"/>
    <mergeCell ref="F266:J266"/>
    <mergeCell ref="AO7:AO9"/>
    <mergeCell ref="AP7:AP9"/>
    <mergeCell ref="AR7:AR9"/>
    <mergeCell ref="B8:B9"/>
    <mergeCell ref="C8:C9"/>
    <mergeCell ref="AQ7:AQ9"/>
    <mergeCell ref="AJ8:AJ9"/>
    <mergeCell ref="AK8:AK9"/>
    <mergeCell ref="E8:E9"/>
    <mergeCell ref="D8:D9"/>
    <mergeCell ref="A7:A9"/>
    <mergeCell ref="B7:D7"/>
    <mergeCell ref="AJ7:AN7"/>
    <mergeCell ref="AN8:AN9"/>
    <mergeCell ref="AM8:AM9"/>
    <mergeCell ref="AL8:AL9"/>
    <mergeCell ref="A11:C11"/>
    <mergeCell ref="A29:C29"/>
    <mergeCell ref="A47:C47"/>
    <mergeCell ref="A59:C59"/>
    <mergeCell ref="A68:C68"/>
    <mergeCell ref="A69:C69"/>
    <mergeCell ref="A117:C117"/>
    <mergeCell ref="A118:C118"/>
    <mergeCell ref="A126:C126"/>
    <mergeCell ref="A130:C130"/>
    <mergeCell ref="A79:C79"/>
    <mergeCell ref="A98:C98"/>
    <mergeCell ref="A104:C104"/>
    <mergeCell ref="A105:C105"/>
    <mergeCell ref="A108:C108"/>
  </mergeCells>
  <phoneticPr fontId="0" type="noConversion"/>
  <printOptions horizontalCentered="1"/>
  <pageMargins left="0.19685039370078741" right="0.19685039370078741" top="0.98425196850393704" bottom="0.19685039370078741" header="0" footer="0"/>
  <pageSetup paperSize="9" scale="17" fitToHeight="0" orientation="landscape" r:id="rId1"/>
  <rowBreaks count="1" manualBreakCount="1">
    <brk id="223" max="51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9DF12F-8BE8-4ADA-A58E-EEB459EBF785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Уборка</vt:lpstr>
      <vt:lpstr>Уборка!Заголовки_для_печати</vt:lpstr>
      <vt:lpstr>Уборка!Область_печати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Фаррахова Эльвера Римовна</cp:lastModifiedBy>
  <cp:lastPrinted>2016-11-14T12:19:32Z</cp:lastPrinted>
  <dcterms:created xsi:type="dcterms:W3CDTF">2011-06-09T11:01:46Z</dcterms:created>
  <dcterms:modified xsi:type="dcterms:W3CDTF">2016-12-23T09:58:12Z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